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5.-CUENTA PUBLICA 2017\DIGITALES- LDF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204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b)'!$A$76</definedName>
    <definedName name="GASTO_E_FIN">'Formato 6 b)'!$A$101</definedName>
    <definedName name="GASTO_E_FIN_01">'Formato 6 b)'!$B$101</definedName>
    <definedName name="GASTO_E_FIN_02">'Formato 6 b)'!$C$101</definedName>
    <definedName name="GASTO_E_FIN_03">'Formato 6 b)'!$D$101</definedName>
    <definedName name="GASTO_E_FIN_04">'Formato 6 b)'!$E$101</definedName>
    <definedName name="GASTO_E_FIN_05">'Formato 6 b)'!$F$101</definedName>
    <definedName name="GASTO_E_FIN_06">'Formato 6 b)'!$G$101</definedName>
    <definedName name="GASTO_E_T1">'Formato 6 b)'!$B$76</definedName>
    <definedName name="GASTO_E_T2">'Formato 6 b)'!$C$76</definedName>
    <definedName name="GASTO_E_T3">'Formato 6 b)'!$D$76</definedName>
    <definedName name="GASTO_E_T4">'Formato 6 b)'!$E$76</definedName>
    <definedName name="GASTO_E_T5">'Formato 6 b)'!$F$76</definedName>
    <definedName name="GASTO_E_T6">'Formato 6 b)'!$G$76</definedName>
    <definedName name="GASTO_NE">'Formato 6 b)'!$A$9</definedName>
    <definedName name="GASTO_NE_FIN">'Formato 6 b)'!$A$75</definedName>
    <definedName name="GASTO_NE_FIN_01">'Formato 6 b)'!$B$75</definedName>
    <definedName name="GASTO_NE_FIN_02">'Formato 6 b)'!$C$75</definedName>
    <definedName name="GASTO_NE_FIN_03">'Formato 6 b)'!$D$75</definedName>
    <definedName name="GASTO_NE_FIN_04">'Formato 6 b)'!$E$75</definedName>
    <definedName name="GASTO_NE_FIN_05">'Formato 6 b)'!$F$75</definedName>
    <definedName name="GASTO_NE_FIN_06">'Formato 6 b)'!$G$75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b)'!$B$102</definedName>
    <definedName name="TOTAL_E_T2">'Formato 6 b)'!$C$102</definedName>
    <definedName name="TOTAL_E_T3">'Formato 6 b)'!$D$102</definedName>
    <definedName name="TOTAL_E_T4">'Formato 6 b)'!$E$102</definedName>
    <definedName name="TOTAL_E_T5">'Formato 6 b)'!$F$102</definedName>
    <definedName name="TOTAL_E_T6">'Formato 6 b)'!$G$102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76" i="7"/>
  <c r="D76" i="7"/>
  <c r="E76" i="7"/>
  <c r="F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76" i="7"/>
  <c r="B76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9" i="7"/>
  <c r="D9" i="7"/>
  <c r="E9" i="7"/>
  <c r="F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9" i="7"/>
  <c r="B9" i="7"/>
  <c r="C146" i="6"/>
  <c r="E146" i="6"/>
  <c r="F146" i="6"/>
  <c r="B146" i="6"/>
  <c r="C137" i="6"/>
  <c r="E137" i="6"/>
  <c r="F137" i="6"/>
  <c r="B137" i="6"/>
  <c r="B13" i="2"/>
  <c r="B27" i="13"/>
  <c r="B24" i="13"/>
  <c r="B13" i="13"/>
  <c r="B7" i="13"/>
  <c r="B20" i="13"/>
  <c r="B9" i="13"/>
  <c r="B22" i="13"/>
  <c r="B23" i="13"/>
  <c r="B21" i="13"/>
  <c r="B18" i="13"/>
  <c r="B19" i="13"/>
  <c r="B10" i="13"/>
  <c r="B8" i="13"/>
  <c r="B35" i="12"/>
  <c r="B34" i="12"/>
  <c r="B22" i="12"/>
  <c r="B21" i="12"/>
  <c r="B23" i="12"/>
  <c r="B36" i="12"/>
  <c r="B29" i="12"/>
  <c r="B28" i="12"/>
  <c r="B26" i="12"/>
  <c r="B18" i="12"/>
  <c r="B15" i="12"/>
  <c r="B7" i="12"/>
  <c r="B31" i="12"/>
  <c r="B16" i="12"/>
  <c r="C24" i="13"/>
  <c r="C23" i="13"/>
  <c r="C22" i="13"/>
  <c r="C21" i="13"/>
  <c r="C20" i="13"/>
  <c r="C19" i="13"/>
  <c r="C18" i="13"/>
  <c r="C9" i="13"/>
  <c r="C13" i="13"/>
  <c r="C12" i="13"/>
  <c r="C11" i="13"/>
  <c r="C10" i="13"/>
  <c r="C8" i="13"/>
  <c r="C7" i="13"/>
  <c r="C7" i="12"/>
  <c r="C23" i="12"/>
  <c r="C21" i="12"/>
  <c r="C26" i="12"/>
  <c r="C22" i="12"/>
  <c r="C35" i="12"/>
  <c r="C36" i="12"/>
  <c r="C29" i="12"/>
  <c r="C28" i="12"/>
  <c r="C34" i="12"/>
  <c r="C18" i="12"/>
  <c r="C16" i="12"/>
  <c r="C15" i="12"/>
  <c r="D36" i="12"/>
  <c r="D29" i="12"/>
  <c r="D28" i="12"/>
  <c r="D7" i="13"/>
  <c r="D29" i="13"/>
  <c r="D18" i="13"/>
  <c r="D7" i="12"/>
  <c r="D26" i="12"/>
  <c r="D22" i="12"/>
  <c r="D21" i="12"/>
  <c r="D15" i="12"/>
  <c r="D16" i="12"/>
  <c r="E24" i="13"/>
  <c r="E23" i="13"/>
  <c r="E21" i="13"/>
  <c r="E20" i="13"/>
  <c r="E18" i="13"/>
  <c r="E29" i="13"/>
  <c r="E7" i="13"/>
  <c r="E35" i="12"/>
  <c r="E36" i="12"/>
  <c r="E29" i="12"/>
  <c r="E28" i="12"/>
  <c r="E26" i="12"/>
  <c r="E23" i="12"/>
  <c r="E22" i="12"/>
  <c r="E21" i="12"/>
  <c r="S15" i="30"/>
  <c r="E16" i="12"/>
  <c r="E15" i="12"/>
  <c r="F36" i="12"/>
  <c r="F29" i="12"/>
  <c r="F28" i="12"/>
  <c r="F26" i="12"/>
  <c r="F21" i="12"/>
  <c r="F22" i="12"/>
  <c r="F18" i="13"/>
  <c r="F29" i="13"/>
  <c r="F7" i="13"/>
  <c r="F7" i="12"/>
  <c r="F15" i="12"/>
  <c r="F16" i="12"/>
  <c r="G7" i="13"/>
  <c r="G29" i="13"/>
  <c r="G18" i="13"/>
  <c r="G21" i="12"/>
  <c r="G29" i="12"/>
  <c r="G28" i="12"/>
  <c r="G36" i="12"/>
  <c r="G16" i="12"/>
  <c r="G15" i="12"/>
  <c r="G7" i="12"/>
  <c r="E13" i="12"/>
  <c r="E7" i="12"/>
  <c r="G14" i="11"/>
  <c r="F14" i="11"/>
  <c r="F8" i="11"/>
  <c r="E14" i="11"/>
  <c r="D14" i="11"/>
  <c r="D8" i="11"/>
  <c r="D30" i="11"/>
  <c r="C14" i="11"/>
  <c r="B14" i="11"/>
  <c r="B8" i="11"/>
  <c r="B30" i="11"/>
  <c r="C24" i="10"/>
  <c r="C35" i="10"/>
  <c r="B35" i="10"/>
  <c r="B37" i="10"/>
  <c r="D30" i="10"/>
  <c r="C30" i="10"/>
  <c r="C8" i="11"/>
  <c r="C19" i="11"/>
  <c r="C30" i="11"/>
  <c r="D19" i="11"/>
  <c r="E8" i="11"/>
  <c r="E30" i="11"/>
  <c r="E19" i="11"/>
  <c r="F19" i="11"/>
  <c r="G8" i="11"/>
  <c r="G19" i="11"/>
  <c r="G30" i="11"/>
  <c r="B19" i="11"/>
  <c r="C37" i="10"/>
  <c r="C36" i="10"/>
  <c r="D36" i="10"/>
  <c r="E36" i="10"/>
  <c r="D24" i="10"/>
  <c r="E24" i="10"/>
  <c r="F24" i="10"/>
  <c r="G24" i="10"/>
  <c r="D29" i="10"/>
  <c r="C29" i="10"/>
  <c r="C26" i="10"/>
  <c r="D26" i="10"/>
  <c r="E26" i="10"/>
  <c r="C25" i="10"/>
  <c r="D25" i="10"/>
  <c r="E25" i="10"/>
  <c r="F25" i="10"/>
  <c r="G25" i="10"/>
  <c r="C23" i="10"/>
  <c r="C20" i="10"/>
  <c r="D20" i="10"/>
  <c r="E20" i="10"/>
  <c r="F20" i="10"/>
  <c r="G20" i="10"/>
  <c r="C19" i="10"/>
  <c r="D19" i="10"/>
  <c r="E19" i="10"/>
  <c r="F19" i="10"/>
  <c r="G19" i="10"/>
  <c r="C18" i="10"/>
  <c r="D18" i="10"/>
  <c r="E18" i="10"/>
  <c r="F18" i="10"/>
  <c r="G18" i="10"/>
  <c r="C17" i="10"/>
  <c r="D17" i="10"/>
  <c r="E17" i="10"/>
  <c r="F17" i="10"/>
  <c r="G17" i="10"/>
  <c r="C15" i="10"/>
  <c r="D15" i="10"/>
  <c r="E15" i="10"/>
  <c r="C14" i="10"/>
  <c r="D14" i="10"/>
  <c r="E14" i="10"/>
  <c r="F14" i="10"/>
  <c r="G14" i="10"/>
  <c r="C13" i="10"/>
  <c r="D13" i="10"/>
  <c r="E13" i="10"/>
  <c r="F13" i="10"/>
  <c r="G13" i="10"/>
  <c r="U7" i="28"/>
  <c r="C12" i="10"/>
  <c r="D12" i="10"/>
  <c r="E12" i="10"/>
  <c r="F12" i="10"/>
  <c r="G12" i="10"/>
  <c r="C11" i="10"/>
  <c r="D11" i="10"/>
  <c r="E11" i="10"/>
  <c r="F11" i="10"/>
  <c r="G11" i="10"/>
  <c r="C10" i="10"/>
  <c r="D10" i="10"/>
  <c r="E10" i="10"/>
  <c r="F10" i="10"/>
  <c r="G10" i="10"/>
  <c r="C9" i="10"/>
  <c r="B29" i="10"/>
  <c r="B27" i="10"/>
  <c r="C27" i="10"/>
  <c r="D27" i="10"/>
  <c r="E27" i="10"/>
  <c r="F27" i="10"/>
  <c r="B23" i="10"/>
  <c r="B22" i="10"/>
  <c r="B17" i="10"/>
  <c r="B16" i="10"/>
  <c r="C16" i="10"/>
  <c r="D16" i="10"/>
  <c r="E16" i="10"/>
  <c r="F16" i="10"/>
  <c r="G9" i="9"/>
  <c r="G24" i="9"/>
  <c r="G28" i="9"/>
  <c r="F28" i="9"/>
  <c r="C28" i="9"/>
  <c r="D28" i="9"/>
  <c r="E28" i="9"/>
  <c r="F24" i="9"/>
  <c r="F21" i="9"/>
  <c r="E24" i="9"/>
  <c r="E21" i="9"/>
  <c r="D24" i="9"/>
  <c r="C24" i="9"/>
  <c r="B24" i="9"/>
  <c r="B28" i="9"/>
  <c r="B21" i="9"/>
  <c r="D22" i="9"/>
  <c r="D21" i="9"/>
  <c r="G16" i="9"/>
  <c r="F16" i="9"/>
  <c r="F9" i="9"/>
  <c r="D16" i="9"/>
  <c r="E16" i="9"/>
  <c r="C16" i="9"/>
  <c r="B16" i="9"/>
  <c r="B12" i="9"/>
  <c r="B9" i="9"/>
  <c r="C12" i="9"/>
  <c r="C9" i="9"/>
  <c r="Q2" i="27"/>
  <c r="D12" i="9"/>
  <c r="E12" i="9"/>
  <c r="E9" i="9"/>
  <c r="S2" i="27"/>
  <c r="F12" i="9"/>
  <c r="G12" i="9"/>
  <c r="G11" i="9"/>
  <c r="D10" i="9"/>
  <c r="D9" i="9"/>
  <c r="R2" i="27"/>
  <c r="G10" i="9"/>
  <c r="F44" i="8"/>
  <c r="E44" i="8"/>
  <c r="C44" i="8"/>
  <c r="C43" i="8"/>
  <c r="B44" i="8"/>
  <c r="F53" i="8"/>
  <c r="F43" i="8"/>
  <c r="E53" i="8"/>
  <c r="C53" i="8"/>
  <c r="B53" i="8"/>
  <c r="P45" i="26"/>
  <c r="B61" i="8"/>
  <c r="C61" i="8"/>
  <c r="E61" i="8"/>
  <c r="E43" i="8"/>
  <c r="F61" i="8"/>
  <c r="F71" i="8"/>
  <c r="E71" i="8"/>
  <c r="D71" i="8"/>
  <c r="C71" i="8"/>
  <c r="B71" i="8"/>
  <c r="D75" i="8"/>
  <c r="G75" i="8"/>
  <c r="D74" i="8"/>
  <c r="G74" i="8"/>
  <c r="D73" i="8"/>
  <c r="G73" i="8"/>
  <c r="D72" i="8"/>
  <c r="G72" i="8"/>
  <c r="D70" i="8"/>
  <c r="G70" i="8"/>
  <c r="D69" i="8"/>
  <c r="G69" i="8"/>
  <c r="D68" i="8"/>
  <c r="G68" i="8"/>
  <c r="D67" i="8"/>
  <c r="G67" i="8"/>
  <c r="D66" i="8"/>
  <c r="G66" i="8"/>
  <c r="D65" i="8"/>
  <c r="G65" i="8"/>
  <c r="D64" i="8"/>
  <c r="G64" i="8"/>
  <c r="D63" i="8"/>
  <c r="G63" i="8"/>
  <c r="D62" i="8"/>
  <c r="D60" i="8"/>
  <c r="G60" i="8"/>
  <c r="D59" i="8"/>
  <c r="G59" i="8"/>
  <c r="D58" i="8"/>
  <c r="G58" i="8"/>
  <c r="D57" i="8"/>
  <c r="G57" i="8"/>
  <c r="D56" i="8"/>
  <c r="G56" i="8"/>
  <c r="D55" i="8"/>
  <c r="G55" i="8"/>
  <c r="D54" i="8"/>
  <c r="D53" i="8"/>
  <c r="G54" i="8"/>
  <c r="G53" i="8"/>
  <c r="D52" i="8"/>
  <c r="G52" i="8"/>
  <c r="D51" i="8"/>
  <c r="G51" i="8"/>
  <c r="D50" i="8"/>
  <c r="G50" i="8"/>
  <c r="D49" i="8"/>
  <c r="G49" i="8"/>
  <c r="D48" i="8"/>
  <c r="G48" i="8"/>
  <c r="D47" i="8"/>
  <c r="G47" i="8"/>
  <c r="D46" i="8"/>
  <c r="G46" i="8"/>
  <c r="D45" i="8"/>
  <c r="G45" i="8"/>
  <c r="D44" i="8"/>
  <c r="F37" i="8"/>
  <c r="T30" i="26"/>
  <c r="E37" i="8"/>
  <c r="C37" i="8"/>
  <c r="B37" i="8"/>
  <c r="P30" i="26"/>
  <c r="D41" i="8"/>
  <c r="G41" i="8"/>
  <c r="D40" i="8"/>
  <c r="G40" i="8"/>
  <c r="U33" i="26"/>
  <c r="D39" i="8"/>
  <c r="G39" i="8"/>
  <c r="D38" i="8"/>
  <c r="D37" i="8"/>
  <c r="F27" i="8"/>
  <c r="E27" i="8"/>
  <c r="D27" i="8"/>
  <c r="C27" i="8"/>
  <c r="B27" i="8"/>
  <c r="D36" i="8"/>
  <c r="G36" i="8"/>
  <c r="D35" i="8"/>
  <c r="G35" i="8"/>
  <c r="D34" i="8"/>
  <c r="G34" i="8"/>
  <c r="D33" i="8"/>
  <c r="G33" i="8"/>
  <c r="D32" i="8"/>
  <c r="G32" i="8"/>
  <c r="D31" i="8"/>
  <c r="G31" i="8"/>
  <c r="D30" i="8"/>
  <c r="G30" i="8"/>
  <c r="D29" i="8"/>
  <c r="G29" i="8"/>
  <c r="D28" i="8"/>
  <c r="G28" i="8"/>
  <c r="B10" i="8"/>
  <c r="C10" i="8"/>
  <c r="C9" i="8"/>
  <c r="D10" i="8"/>
  <c r="E10" i="8"/>
  <c r="E9" i="8"/>
  <c r="F10" i="8"/>
  <c r="F19" i="8"/>
  <c r="E19" i="8"/>
  <c r="C19" i="8"/>
  <c r="B19" i="8"/>
  <c r="D26" i="8"/>
  <c r="G26" i="8"/>
  <c r="D25" i="8"/>
  <c r="G25" i="8"/>
  <c r="D24" i="8"/>
  <c r="G24" i="8"/>
  <c r="D23" i="8"/>
  <c r="G23" i="8"/>
  <c r="D22" i="8"/>
  <c r="G22" i="8"/>
  <c r="D21" i="8"/>
  <c r="G21" i="8"/>
  <c r="D20" i="8"/>
  <c r="D18" i="8"/>
  <c r="G18" i="8"/>
  <c r="D17" i="8"/>
  <c r="G17" i="8"/>
  <c r="D16" i="8"/>
  <c r="G16" i="8"/>
  <c r="D15" i="8"/>
  <c r="G15" i="8"/>
  <c r="D14" i="8"/>
  <c r="G14" i="8"/>
  <c r="D13" i="8"/>
  <c r="G13" i="8"/>
  <c r="D12" i="8"/>
  <c r="G12" i="8"/>
  <c r="D11" i="8"/>
  <c r="G11" i="8"/>
  <c r="G10" i="8"/>
  <c r="G150" i="6"/>
  <c r="F150" i="6"/>
  <c r="T142" i="24"/>
  <c r="E150" i="6"/>
  <c r="C150" i="6"/>
  <c r="B150" i="6"/>
  <c r="F133" i="6"/>
  <c r="E133" i="6"/>
  <c r="D133" i="6"/>
  <c r="C133" i="6"/>
  <c r="B133" i="6"/>
  <c r="B123" i="6"/>
  <c r="C123" i="6"/>
  <c r="E123" i="6"/>
  <c r="F123" i="6"/>
  <c r="F113" i="6"/>
  <c r="E113" i="6"/>
  <c r="B113" i="6"/>
  <c r="C113" i="6"/>
  <c r="E103" i="6"/>
  <c r="F103" i="6"/>
  <c r="F93" i="6"/>
  <c r="E93" i="6"/>
  <c r="C103" i="6"/>
  <c r="B103" i="6"/>
  <c r="C93" i="6"/>
  <c r="B93" i="6"/>
  <c r="F75" i="6"/>
  <c r="E75" i="6"/>
  <c r="E71" i="6"/>
  <c r="C75" i="6"/>
  <c r="B75" i="6"/>
  <c r="C71" i="6"/>
  <c r="B71" i="6"/>
  <c r="B62" i="6"/>
  <c r="C62" i="6"/>
  <c r="Q55" i="24"/>
  <c r="E62" i="6"/>
  <c r="F62" i="6"/>
  <c r="F71" i="6"/>
  <c r="B85" i="6"/>
  <c r="C85" i="6"/>
  <c r="E85" i="6"/>
  <c r="F85" i="6"/>
  <c r="F28" i="6"/>
  <c r="E28" i="6"/>
  <c r="C28" i="6"/>
  <c r="B28" i="6"/>
  <c r="F10" i="6"/>
  <c r="F18" i="6"/>
  <c r="E18" i="6"/>
  <c r="C18" i="6"/>
  <c r="B18" i="6"/>
  <c r="E10" i="6"/>
  <c r="C10" i="6"/>
  <c r="B10" i="6"/>
  <c r="D157" i="6"/>
  <c r="G157" i="6"/>
  <c r="D156" i="6"/>
  <c r="G156" i="6"/>
  <c r="D155" i="6"/>
  <c r="G155" i="6"/>
  <c r="D154" i="6"/>
  <c r="D153" i="6"/>
  <c r="G153" i="6"/>
  <c r="D152" i="6"/>
  <c r="G152" i="6"/>
  <c r="D151" i="6"/>
  <c r="D149" i="6"/>
  <c r="G149" i="6"/>
  <c r="D148" i="6"/>
  <c r="G148" i="6"/>
  <c r="D147" i="6"/>
  <c r="D146" i="6"/>
  <c r="G147" i="6"/>
  <c r="D145" i="6"/>
  <c r="G145" i="6"/>
  <c r="D144" i="6"/>
  <c r="G144" i="6"/>
  <c r="D143" i="6"/>
  <c r="G143" i="6"/>
  <c r="D142" i="6"/>
  <c r="G142" i="6"/>
  <c r="D141" i="6"/>
  <c r="G141" i="6"/>
  <c r="D140" i="6"/>
  <c r="G140" i="6"/>
  <c r="D139" i="6"/>
  <c r="G139" i="6"/>
  <c r="D138" i="6"/>
  <c r="D137" i="6"/>
  <c r="G138" i="6"/>
  <c r="D136" i="6"/>
  <c r="G136" i="6"/>
  <c r="D135" i="6"/>
  <c r="G135" i="6"/>
  <c r="D134" i="6"/>
  <c r="G134" i="6"/>
  <c r="G133" i="6"/>
  <c r="D132" i="6"/>
  <c r="G132" i="6"/>
  <c r="D131" i="6"/>
  <c r="G131" i="6"/>
  <c r="D130" i="6"/>
  <c r="G130" i="6"/>
  <c r="D129" i="6"/>
  <c r="G129" i="6"/>
  <c r="D128" i="6"/>
  <c r="G128" i="6"/>
  <c r="D127" i="6"/>
  <c r="G127" i="6"/>
  <c r="D126" i="6"/>
  <c r="G126" i="6"/>
  <c r="D125" i="6"/>
  <c r="G125" i="6"/>
  <c r="D124" i="6"/>
  <c r="D123" i="6"/>
  <c r="D122" i="6"/>
  <c r="G122" i="6"/>
  <c r="D121" i="6"/>
  <c r="G121" i="6"/>
  <c r="D120" i="6"/>
  <c r="G120" i="6"/>
  <c r="D119" i="6"/>
  <c r="G119" i="6"/>
  <c r="D118" i="6"/>
  <c r="G118" i="6"/>
  <c r="D117" i="6"/>
  <c r="G117" i="6"/>
  <c r="D116" i="6"/>
  <c r="G116" i="6"/>
  <c r="D115" i="6"/>
  <c r="G115" i="6"/>
  <c r="D114" i="6"/>
  <c r="D113" i="6"/>
  <c r="R105" i="24"/>
  <c r="G114" i="6"/>
  <c r="G113" i="6"/>
  <c r="D112" i="6"/>
  <c r="G112" i="6"/>
  <c r="D111" i="6"/>
  <c r="G111" i="6"/>
  <c r="D110" i="6"/>
  <c r="G110" i="6"/>
  <c r="D109" i="6"/>
  <c r="G109" i="6"/>
  <c r="D108" i="6"/>
  <c r="G108" i="6"/>
  <c r="D107" i="6"/>
  <c r="G107" i="6"/>
  <c r="D106" i="6"/>
  <c r="G106" i="6"/>
  <c r="D105" i="6"/>
  <c r="G105" i="6"/>
  <c r="D104" i="6"/>
  <c r="G104" i="6"/>
  <c r="D102" i="6"/>
  <c r="G102" i="6"/>
  <c r="D101" i="6"/>
  <c r="G101" i="6"/>
  <c r="D100" i="6"/>
  <c r="G100" i="6"/>
  <c r="D99" i="6"/>
  <c r="G99" i="6"/>
  <c r="D98" i="6"/>
  <c r="G98" i="6"/>
  <c r="D97" i="6"/>
  <c r="G97" i="6"/>
  <c r="D96" i="6"/>
  <c r="G96" i="6"/>
  <c r="D95" i="6"/>
  <c r="G95" i="6"/>
  <c r="D94" i="6"/>
  <c r="G94" i="6"/>
  <c r="G93" i="6"/>
  <c r="U85" i="24"/>
  <c r="D92" i="6"/>
  <c r="G92" i="6"/>
  <c r="D91" i="6"/>
  <c r="G91" i="6"/>
  <c r="D90" i="6"/>
  <c r="G90" i="6"/>
  <c r="D89" i="6"/>
  <c r="G89" i="6"/>
  <c r="D88" i="6"/>
  <c r="G88" i="6"/>
  <c r="U80" i="24"/>
  <c r="D87" i="6"/>
  <c r="G87" i="6"/>
  <c r="D86" i="6"/>
  <c r="G86" i="6"/>
  <c r="D82" i="6"/>
  <c r="G82" i="6"/>
  <c r="D81" i="6"/>
  <c r="G81" i="6"/>
  <c r="D80" i="6"/>
  <c r="G80" i="6"/>
  <c r="D79" i="6"/>
  <c r="G79" i="6"/>
  <c r="D78" i="6"/>
  <c r="G78" i="6"/>
  <c r="D77" i="6"/>
  <c r="G77" i="6"/>
  <c r="D76" i="6"/>
  <c r="D74" i="6"/>
  <c r="G74" i="6"/>
  <c r="U67" i="24"/>
  <c r="D73" i="6"/>
  <c r="G73" i="6"/>
  <c r="D72" i="6"/>
  <c r="D71" i="6"/>
  <c r="R64" i="24"/>
  <c r="D70" i="6"/>
  <c r="G70" i="6"/>
  <c r="D69" i="6"/>
  <c r="G69" i="6"/>
  <c r="U62" i="24"/>
  <c r="D68" i="6"/>
  <c r="G68" i="6"/>
  <c r="D67" i="6"/>
  <c r="G67" i="6"/>
  <c r="U60" i="24"/>
  <c r="D66" i="6"/>
  <c r="G66" i="6"/>
  <c r="D65" i="6"/>
  <c r="G65" i="6"/>
  <c r="D64" i="6"/>
  <c r="G64" i="6"/>
  <c r="D63" i="6"/>
  <c r="D61" i="6"/>
  <c r="G61" i="6"/>
  <c r="D60" i="6"/>
  <c r="G60" i="6"/>
  <c r="U53" i="24"/>
  <c r="D59" i="6"/>
  <c r="G59" i="6"/>
  <c r="D57" i="6"/>
  <c r="G57" i="6"/>
  <c r="U50" i="24"/>
  <c r="D56" i="6"/>
  <c r="G56" i="6"/>
  <c r="D55" i="6"/>
  <c r="G55" i="6"/>
  <c r="U48" i="24"/>
  <c r="D54" i="6"/>
  <c r="G54" i="6"/>
  <c r="D53" i="6"/>
  <c r="G53" i="6"/>
  <c r="D52" i="6"/>
  <c r="G52" i="6"/>
  <c r="D51" i="6"/>
  <c r="G51" i="6"/>
  <c r="D50" i="6"/>
  <c r="G50" i="6"/>
  <c r="D49" i="6"/>
  <c r="G49" i="6"/>
  <c r="D47" i="6"/>
  <c r="G47" i="6"/>
  <c r="G46" i="6"/>
  <c r="C46" i="6"/>
  <c r="D45" i="6"/>
  <c r="G45" i="6"/>
  <c r="D44" i="6"/>
  <c r="G44" i="6"/>
  <c r="D43" i="6"/>
  <c r="D42" i="6"/>
  <c r="G42" i="6"/>
  <c r="U35" i="24"/>
  <c r="D41" i="6"/>
  <c r="G41" i="6"/>
  <c r="D40" i="6"/>
  <c r="G40" i="6"/>
  <c r="U33" i="24"/>
  <c r="D39" i="6"/>
  <c r="D37" i="6"/>
  <c r="G37" i="6"/>
  <c r="D36" i="6"/>
  <c r="G36" i="6"/>
  <c r="D35" i="6"/>
  <c r="G35" i="6"/>
  <c r="D34" i="6"/>
  <c r="D33" i="6"/>
  <c r="G33" i="6"/>
  <c r="D32" i="6"/>
  <c r="G32" i="6"/>
  <c r="U25" i="24"/>
  <c r="D31" i="6"/>
  <c r="G31" i="6"/>
  <c r="D30" i="6"/>
  <c r="D29" i="6"/>
  <c r="G29" i="6"/>
  <c r="D27" i="6"/>
  <c r="G27" i="6"/>
  <c r="D26" i="6"/>
  <c r="G26" i="6"/>
  <c r="D25" i="6"/>
  <c r="D24" i="6"/>
  <c r="G24" i="6"/>
  <c r="U17" i="24"/>
  <c r="D23" i="6"/>
  <c r="G23" i="6"/>
  <c r="D22" i="6"/>
  <c r="G22" i="6"/>
  <c r="U15" i="24"/>
  <c r="D21" i="6"/>
  <c r="D20" i="6"/>
  <c r="G20" i="6"/>
  <c r="D19" i="6"/>
  <c r="D17" i="6"/>
  <c r="G17" i="6"/>
  <c r="D16" i="6"/>
  <c r="G16" i="6"/>
  <c r="U9" i="24"/>
  <c r="D15" i="6"/>
  <c r="G15" i="6"/>
  <c r="D14" i="6"/>
  <c r="G14" i="6"/>
  <c r="D13" i="6"/>
  <c r="G13" i="6"/>
  <c r="D12" i="6"/>
  <c r="G12" i="6"/>
  <c r="U5" i="24"/>
  <c r="D11" i="6"/>
  <c r="F75" i="5"/>
  <c r="E75" i="5"/>
  <c r="D75" i="5"/>
  <c r="C75" i="5"/>
  <c r="B75" i="5"/>
  <c r="G74" i="5"/>
  <c r="G73" i="5"/>
  <c r="G75" i="5"/>
  <c r="U62" i="20"/>
  <c r="E67" i="5"/>
  <c r="F67" i="5"/>
  <c r="D67" i="5"/>
  <c r="C67" i="5"/>
  <c r="B67" i="5"/>
  <c r="G68" i="5"/>
  <c r="G67" i="5"/>
  <c r="U57" i="20"/>
  <c r="E63" i="5"/>
  <c r="B63" i="5"/>
  <c r="C63" i="5"/>
  <c r="F63" i="5"/>
  <c r="D63" i="5"/>
  <c r="G62" i="5"/>
  <c r="C62" i="5"/>
  <c r="F59" i="5"/>
  <c r="E59" i="5"/>
  <c r="D59" i="5"/>
  <c r="B59" i="5"/>
  <c r="G61" i="5"/>
  <c r="C61" i="5"/>
  <c r="G60" i="5"/>
  <c r="G59" i="5"/>
  <c r="C60" i="5"/>
  <c r="C59" i="5"/>
  <c r="F54" i="5"/>
  <c r="E54" i="5"/>
  <c r="D54" i="5"/>
  <c r="B54" i="5"/>
  <c r="G58" i="5"/>
  <c r="C58" i="5"/>
  <c r="G57" i="5"/>
  <c r="C57" i="5"/>
  <c r="G56" i="5"/>
  <c r="G54" i="5"/>
  <c r="U46" i="20"/>
  <c r="C56" i="5"/>
  <c r="G55" i="5"/>
  <c r="C55" i="5"/>
  <c r="F45" i="5"/>
  <c r="F65" i="5"/>
  <c r="E45" i="5"/>
  <c r="E65" i="5"/>
  <c r="S56" i="20"/>
  <c r="D45" i="5"/>
  <c r="D65" i="5"/>
  <c r="B45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G45" i="5"/>
  <c r="U37" i="20"/>
  <c r="C46" i="5"/>
  <c r="C45" i="5"/>
  <c r="F37" i="5"/>
  <c r="E37" i="5"/>
  <c r="D37" i="5"/>
  <c r="C37" i="5"/>
  <c r="B37" i="5"/>
  <c r="G39" i="5"/>
  <c r="C39" i="5"/>
  <c r="G38" i="5"/>
  <c r="G37" i="5"/>
  <c r="U31" i="20"/>
  <c r="C38" i="5"/>
  <c r="D35" i="5"/>
  <c r="F35" i="5"/>
  <c r="E28" i="5"/>
  <c r="F16" i="5"/>
  <c r="F41" i="5"/>
  <c r="E16" i="5"/>
  <c r="F28" i="5"/>
  <c r="D28" i="5"/>
  <c r="D16" i="5"/>
  <c r="D41" i="5"/>
  <c r="B16" i="5"/>
  <c r="B28" i="5"/>
  <c r="B41" i="5"/>
  <c r="P34" i="20"/>
  <c r="B35" i="5"/>
  <c r="G36" i="5"/>
  <c r="G35" i="5"/>
  <c r="C36" i="5"/>
  <c r="C35" i="5"/>
  <c r="G34" i="5"/>
  <c r="C34" i="5"/>
  <c r="G33" i="5"/>
  <c r="C33" i="5"/>
  <c r="G32" i="5"/>
  <c r="C32" i="5"/>
  <c r="G31" i="5"/>
  <c r="C31" i="5"/>
  <c r="C28" i="5"/>
  <c r="Q22" i="20"/>
  <c r="G30" i="5"/>
  <c r="C30" i="5"/>
  <c r="G29" i="5"/>
  <c r="G28" i="5"/>
  <c r="C29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G16" i="5"/>
  <c r="U10" i="20"/>
  <c r="C17" i="5"/>
  <c r="G15" i="5"/>
  <c r="C15" i="5"/>
  <c r="G14" i="5"/>
  <c r="C14" i="5"/>
  <c r="G13" i="5"/>
  <c r="C13" i="5"/>
  <c r="G12" i="5"/>
  <c r="C12" i="5"/>
  <c r="G11" i="5"/>
  <c r="C11" i="5"/>
  <c r="G10" i="5"/>
  <c r="C10" i="5"/>
  <c r="G9" i="5"/>
  <c r="C9" i="5"/>
  <c r="C70" i="4"/>
  <c r="D70" i="4"/>
  <c r="D64" i="4"/>
  <c r="C64" i="4"/>
  <c r="B64" i="4"/>
  <c r="D63" i="4"/>
  <c r="C63" i="4"/>
  <c r="B63" i="4"/>
  <c r="D55" i="4"/>
  <c r="C55" i="4"/>
  <c r="B53" i="4"/>
  <c r="C53" i="4"/>
  <c r="D53" i="4"/>
  <c r="D48" i="4"/>
  <c r="D57" i="4"/>
  <c r="D59" i="4"/>
  <c r="C48" i="4"/>
  <c r="B48" i="4"/>
  <c r="D49" i="4"/>
  <c r="C49" i="4"/>
  <c r="C57" i="4"/>
  <c r="C59" i="4"/>
  <c r="B49" i="4"/>
  <c r="D40" i="4"/>
  <c r="D15" i="4"/>
  <c r="D68" i="4"/>
  <c r="C40" i="4"/>
  <c r="C15" i="4"/>
  <c r="B40" i="4"/>
  <c r="B15" i="4"/>
  <c r="D37" i="4"/>
  <c r="C37" i="4"/>
  <c r="C44" i="4"/>
  <c r="B37" i="4"/>
  <c r="D29" i="4"/>
  <c r="C29" i="4"/>
  <c r="B29" i="4"/>
  <c r="D17" i="4"/>
  <c r="C17" i="4"/>
  <c r="K20" i="3"/>
  <c r="J20" i="3"/>
  <c r="I20" i="3"/>
  <c r="H20" i="3"/>
  <c r="G20" i="3"/>
  <c r="E20" i="3"/>
  <c r="E14" i="3"/>
  <c r="G14" i="3"/>
  <c r="K14" i="3"/>
  <c r="I14" i="3"/>
  <c r="H14" i="3"/>
  <c r="J14" i="3"/>
  <c r="I8" i="3"/>
  <c r="H8" i="3"/>
  <c r="E8" i="3"/>
  <c r="G8" i="3"/>
  <c r="K8" i="3"/>
  <c r="G9" i="2"/>
  <c r="B27" i="2"/>
  <c r="B22" i="2"/>
  <c r="E8" i="2"/>
  <c r="E20" i="2"/>
  <c r="C9" i="2"/>
  <c r="C8" i="2"/>
  <c r="C20" i="2"/>
  <c r="H13" i="2"/>
  <c r="H8" i="2"/>
  <c r="H20" i="2"/>
  <c r="V13" i="16"/>
  <c r="G13" i="2"/>
  <c r="F14" i="2"/>
  <c r="F13" i="2"/>
  <c r="F8" i="2"/>
  <c r="F20" i="2"/>
  <c r="T13" i="16"/>
  <c r="F23" i="1"/>
  <c r="F47" i="1"/>
  <c r="F57" i="1"/>
  <c r="E57" i="1"/>
  <c r="F63" i="1"/>
  <c r="F79" i="1"/>
  <c r="Q119" i="15"/>
  <c r="E63" i="1"/>
  <c r="E68" i="1"/>
  <c r="F68" i="1"/>
  <c r="E47" i="1"/>
  <c r="E59" i="1"/>
  <c r="C9" i="1"/>
  <c r="B9" i="1"/>
  <c r="B47" i="1"/>
  <c r="C60" i="1"/>
  <c r="B60" i="1"/>
  <c r="C25" i="1"/>
  <c r="B25" i="1"/>
  <c r="C17" i="1"/>
  <c r="B17" i="1"/>
  <c r="C6" i="23"/>
  <c r="C7" i="23"/>
  <c r="H25" i="23"/>
  <c r="G25" i="23"/>
  <c r="F25" i="23"/>
  <c r="E25" i="23"/>
  <c r="D25" i="23"/>
  <c r="B38" i="6"/>
  <c r="B48" i="6"/>
  <c r="B58" i="6"/>
  <c r="B9" i="6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12" i="31"/>
  <c r="Q12" i="31"/>
  <c r="R12" i="31"/>
  <c r="S12" i="31"/>
  <c r="T12" i="31"/>
  <c r="U2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S22" i="31"/>
  <c r="T22" i="31"/>
  <c r="U2" i="31"/>
  <c r="Q2" i="31"/>
  <c r="S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S21" i="30"/>
  <c r="U21" i="30"/>
  <c r="P22" i="30"/>
  <c r="Q22" i="30"/>
  <c r="R22" i="30"/>
  <c r="S22" i="30"/>
  <c r="U22" i="30"/>
  <c r="P23" i="30"/>
  <c r="T2" i="30"/>
  <c r="P24" i="30"/>
  <c r="Q24" i="30"/>
  <c r="R24" i="30"/>
  <c r="S24" i="30"/>
  <c r="T24" i="30"/>
  <c r="U24" i="30"/>
  <c r="P25" i="30"/>
  <c r="Q25" i="30"/>
  <c r="R25" i="30"/>
  <c r="S25" i="30"/>
  <c r="U25" i="30"/>
  <c r="P26" i="30"/>
  <c r="Q26" i="30"/>
  <c r="R26" i="30"/>
  <c r="S26" i="30"/>
  <c r="T26" i="30"/>
  <c r="U26" i="30"/>
  <c r="P27" i="30"/>
  <c r="Q27" i="30"/>
  <c r="R27" i="30"/>
  <c r="S27" i="30"/>
  <c r="U27" i="30"/>
  <c r="Q2" i="30"/>
  <c r="R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P2" i="29"/>
  <c r="P22" i="29"/>
  <c r="Q2" i="29"/>
  <c r="Q22" i="29"/>
  <c r="R22" i="29"/>
  <c r="U2" i="29"/>
  <c r="U22" i="29"/>
  <c r="R2" i="29"/>
  <c r="T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Q8" i="28"/>
  <c r="R8" i="28"/>
  <c r="S8" i="28"/>
  <c r="T8" i="28"/>
  <c r="U8" i="28"/>
  <c r="Q9" i="28"/>
  <c r="R9" i="28"/>
  <c r="Q10" i="28"/>
  <c r="R10" i="28"/>
  <c r="S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Q20" i="28"/>
  <c r="R20" i="28"/>
  <c r="S20" i="28"/>
  <c r="Q21" i="28"/>
  <c r="R21" i="28"/>
  <c r="Q22" i="28"/>
  <c r="R22" i="28"/>
  <c r="Q25" i="28"/>
  <c r="Q26" i="28"/>
  <c r="R26" i="28"/>
  <c r="S26" i="28"/>
  <c r="Q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T2" i="27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R13" i="27"/>
  <c r="Q14" i="27"/>
  <c r="R14" i="27"/>
  <c r="S14" i="27"/>
  <c r="T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" i="27"/>
  <c r="A5" i="27"/>
  <c r="A4" i="27"/>
  <c r="A3" i="27"/>
  <c r="A2" i="27"/>
  <c r="Q2" i="26"/>
  <c r="S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T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U34" i="26"/>
  <c r="Q35" i="26"/>
  <c r="T35" i="26"/>
  <c r="Q36" i="26"/>
  <c r="R36" i="26"/>
  <c r="S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T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U3" i="25"/>
  <c r="T3" i="25"/>
  <c r="E102" i="7"/>
  <c r="S4" i="25"/>
  <c r="S3" i="25"/>
  <c r="R3" i="25"/>
  <c r="C102" i="7"/>
  <c r="Q4" i="25"/>
  <c r="B102" i="7"/>
  <c r="P4" i="25"/>
  <c r="Q3" i="25"/>
  <c r="P3" i="25"/>
  <c r="S2" i="25"/>
  <c r="A3" i="25"/>
  <c r="A4" i="25"/>
  <c r="A2" i="25"/>
  <c r="A87" i="24"/>
  <c r="Q77" i="24"/>
  <c r="S77" i="24"/>
  <c r="T77" i="24"/>
  <c r="Q78" i="24"/>
  <c r="R78" i="24"/>
  <c r="S78" i="24"/>
  <c r="T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S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S146" i="24"/>
  <c r="T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38" i="6"/>
  <c r="C48" i="6"/>
  <c r="C58" i="6"/>
  <c r="Q51" i="24"/>
  <c r="D48" i="6"/>
  <c r="D58" i="6"/>
  <c r="R51" i="24"/>
  <c r="E38" i="6"/>
  <c r="E48" i="6"/>
  <c r="E58" i="6"/>
  <c r="S51" i="24"/>
  <c r="F38" i="6"/>
  <c r="F48" i="6"/>
  <c r="F58" i="6"/>
  <c r="T51" i="24"/>
  <c r="G58" i="6"/>
  <c r="U51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T3" i="24"/>
  <c r="Q4" i="24"/>
  <c r="R4" i="24"/>
  <c r="S4" i="24"/>
  <c r="T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U10" i="24"/>
  <c r="Q11" i="24"/>
  <c r="S11" i="24"/>
  <c r="T11" i="24"/>
  <c r="Q12" i="24"/>
  <c r="R12" i="24"/>
  <c r="S12" i="24"/>
  <c r="T12" i="24"/>
  <c r="Q13" i="24"/>
  <c r="R13" i="24"/>
  <c r="S13" i="24"/>
  <c r="T13" i="24"/>
  <c r="U13" i="24"/>
  <c r="Q14" i="24"/>
  <c r="S14" i="24"/>
  <c r="T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S18" i="24"/>
  <c r="T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T21" i="24"/>
  <c r="Q22" i="24"/>
  <c r="R22" i="24"/>
  <c r="S22" i="24"/>
  <c r="T22" i="24"/>
  <c r="U22" i="24"/>
  <c r="Q23" i="24"/>
  <c r="S23" i="24"/>
  <c r="T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U26" i="24"/>
  <c r="Q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S31" i="24"/>
  <c r="T31" i="24"/>
  <c r="Q32" i="24"/>
  <c r="S32" i="24"/>
  <c r="T32" i="24"/>
  <c r="Q33" i="24"/>
  <c r="R33" i="24"/>
  <c r="S33" i="24"/>
  <c r="T33" i="24"/>
  <c r="Q34" i="24"/>
  <c r="R34" i="24"/>
  <c r="S34" i="24"/>
  <c r="T34" i="24"/>
  <c r="U34" i="24"/>
  <c r="Q35" i="24"/>
  <c r="R35" i="24"/>
  <c r="S35" i="24"/>
  <c r="T35" i="24"/>
  <c r="Q36" i="24"/>
  <c r="S36" i="24"/>
  <c r="T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S55" i="24"/>
  <c r="T55" i="24"/>
  <c r="Q56" i="24"/>
  <c r="R56" i="24"/>
  <c r="S56" i="24"/>
  <c r="T56" i="24"/>
  <c r="Q57" i="24"/>
  <c r="R57" i="24"/>
  <c r="S57" i="24"/>
  <c r="T57" i="24"/>
  <c r="U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Q64" i="24"/>
  <c r="S64" i="24"/>
  <c r="T64" i="24"/>
  <c r="Q65" i="24"/>
  <c r="R65" i="24"/>
  <c r="S65" i="24"/>
  <c r="T65" i="24"/>
  <c r="Q66" i="24"/>
  <c r="R66" i="24"/>
  <c r="S66" i="24"/>
  <c r="T66" i="24"/>
  <c r="U66" i="24"/>
  <c r="Q67" i="24"/>
  <c r="R67" i="24"/>
  <c r="S67" i="24"/>
  <c r="T67" i="24"/>
  <c r="Q68" i="24"/>
  <c r="S68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2" i="20"/>
  <c r="U33" i="20"/>
  <c r="U38" i="20"/>
  <c r="U39" i="20"/>
  <c r="U40" i="20"/>
  <c r="U41" i="20"/>
  <c r="U42" i="20"/>
  <c r="U43" i="20"/>
  <c r="U44" i="20"/>
  <c r="U45" i="20"/>
  <c r="U47" i="20"/>
  <c r="U48" i="20"/>
  <c r="U49" i="20"/>
  <c r="U50" i="20"/>
  <c r="U51" i="20"/>
  <c r="U52" i="20"/>
  <c r="U53" i="20"/>
  <c r="U54" i="20"/>
  <c r="U58" i="20"/>
  <c r="U60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E41" i="5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S34" i="20"/>
  <c r="T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R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B6" i="1"/>
  <c r="F18" i="23"/>
  <c r="K6" i="3"/>
  <c r="E18" i="23"/>
  <c r="J6" i="3"/>
  <c r="D18" i="23"/>
  <c r="I6" i="3"/>
  <c r="F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0"/>
  <c r="F23" i="23"/>
  <c r="D6" i="11"/>
  <c r="E23" i="23"/>
  <c r="C6" i="11"/>
  <c r="G6" i="10"/>
  <c r="G5" i="13"/>
  <c r="G5" i="12"/>
  <c r="C11" i="23"/>
  <c r="A2" i="10"/>
  <c r="A2" i="14"/>
  <c r="A5" i="9"/>
  <c r="A5" i="8"/>
  <c r="A5" i="7"/>
  <c r="A5" i="6"/>
  <c r="A4" i="5"/>
  <c r="A4" i="4"/>
  <c r="A4" i="3"/>
  <c r="A4" i="2"/>
  <c r="A4" i="1"/>
  <c r="X4" i="17"/>
  <c r="W5" i="17"/>
  <c r="Y5" i="17"/>
  <c r="J8" i="3"/>
  <c r="V5" i="17"/>
  <c r="U5" i="17"/>
  <c r="F41" i="2"/>
  <c r="E41" i="2"/>
  <c r="D41" i="2"/>
  <c r="R17" i="16"/>
  <c r="C41" i="2"/>
  <c r="Q17" i="16"/>
  <c r="B41" i="2"/>
  <c r="P17" i="16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B55" i="4"/>
  <c r="B17" i="4"/>
  <c r="Q3" i="18"/>
  <c r="R3" i="18"/>
  <c r="Q4" i="18"/>
  <c r="R4" i="18"/>
  <c r="Q7" i="18"/>
  <c r="R7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3" i="18"/>
  <c r="P34" i="18"/>
  <c r="P35" i="18"/>
  <c r="P32" i="18"/>
  <c r="P30" i="18"/>
  <c r="P27" i="18"/>
  <c r="P28" i="18"/>
  <c r="P29" i="18"/>
  <c r="P26" i="18"/>
  <c r="P20" i="18"/>
  <c r="P21" i="18"/>
  <c r="P22" i="18"/>
  <c r="P23" i="18"/>
  <c r="P24" i="18"/>
  <c r="P19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4" i="17"/>
  <c r="Y3" i="17"/>
  <c r="U4" i="17"/>
  <c r="W4" i="17"/>
  <c r="V4" i="17"/>
  <c r="W3" i="17"/>
  <c r="X3" i="17"/>
  <c r="S4" i="17"/>
  <c r="S17" i="16"/>
  <c r="T17" i="16"/>
  <c r="P15" i="16"/>
  <c r="P14" i="16"/>
  <c r="Q8" i="16"/>
  <c r="R8" i="16"/>
  <c r="S8" i="16"/>
  <c r="T8" i="16"/>
  <c r="V8" i="16"/>
  <c r="P8" i="16"/>
  <c r="Q4" i="16"/>
  <c r="D9" i="2"/>
  <c r="D8" i="2"/>
  <c r="D20" i="2"/>
  <c r="R13" i="16"/>
  <c r="R4" i="16"/>
  <c r="S4" i="16"/>
  <c r="T4" i="16"/>
  <c r="U4" i="16"/>
  <c r="V4" i="16"/>
  <c r="B9" i="2"/>
  <c r="B8" i="2"/>
  <c r="P4" i="15"/>
  <c r="R22" i="18"/>
  <c r="R27" i="18"/>
  <c r="Q30" i="18"/>
  <c r="R32" i="18"/>
  <c r="R36" i="18"/>
  <c r="Q9" i="18"/>
  <c r="Q22" i="18"/>
  <c r="Q27" i="18"/>
  <c r="R31" i="18"/>
  <c r="Q32" i="18"/>
  <c r="R19" i="18"/>
  <c r="R15" i="18"/>
  <c r="R26" i="18"/>
  <c r="Q31" i="18"/>
  <c r="R33" i="18"/>
  <c r="R37" i="18"/>
  <c r="Q19" i="18"/>
  <c r="Q15" i="18"/>
  <c r="R30" i="18"/>
  <c r="Q26" i="18"/>
  <c r="Q33" i="18"/>
  <c r="Q37" i="18"/>
  <c r="S5" i="17"/>
  <c r="S3" i="17"/>
  <c r="U8" i="16"/>
  <c r="Q13" i="16"/>
  <c r="T3" i="16"/>
  <c r="V3" i="16"/>
  <c r="S13" i="16"/>
  <c r="S3" i="16"/>
  <c r="R3" i="16"/>
  <c r="Q95" i="15"/>
  <c r="Q67" i="15"/>
  <c r="Q3" i="16"/>
  <c r="V3" i="17"/>
  <c r="U3" i="17"/>
  <c r="P2" i="25"/>
  <c r="T2" i="25"/>
  <c r="Q2" i="25"/>
  <c r="S22" i="29"/>
  <c r="S2" i="29"/>
  <c r="A2" i="9"/>
  <c r="F33" i="9"/>
  <c r="T24" i="27"/>
  <c r="T13" i="27"/>
  <c r="A2" i="12"/>
  <c r="D102" i="7"/>
  <c r="R4" i="25"/>
  <c r="R2" i="25"/>
  <c r="F102" i="7"/>
  <c r="T4" i="25"/>
  <c r="R22" i="31"/>
  <c r="R2" i="31"/>
  <c r="C47" i="1"/>
  <c r="F9" i="6"/>
  <c r="T2" i="24"/>
  <c r="E33" i="9"/>
  <c r="S24" i="27"/>
  <c r="S13" i="27"/>
  <c r="E6" i="1"/>
  <c r="B6" i="10"/>
  <c r="F6" i="10"/>
  <c r="A2" i="7"/>
  <c r="E70" i="5"/>
  <c r="S2" i="30"/>
  <c r="E79" i="1"/>
  <c r="P119" i="15"/>
  <c r="F59" i="1"/>
  <c r="B13" i="4"/>
  <c r="B21" i="4"/>
  <c r="B68" i="4"/>
  <c r="G21" i="6"/>
  <c r="U14" i="24"/>
  <c r="R14" i="24"/>
  <c r="G25" i="6"/>
  <c r="U18" i="24"/>
  <c r="R18" i="24"/>
  <c r="G30" i="6"/>
  <c r="D28" i="6"/>
  <c r="R21" i="24"/>
  <c r="R23" i="24"/>
  <c r="G34" i="6"/>
  <c r="U27" i="24"/>
  <c r="R27" i="24"/>
  <c r="G39" i="6"/>
  <c r="G38" i="6"/>
  <c r="U31" i="24"/>
  <c r="D38" i="6"/>
  <c r="R31" i="24"/>
  <c r="R32" i="24"/>
  <c r="G43" i="6"/>
  <c r="U36" i="24"/>
  <c r="R36" i="24"/>
  <c r="U44" i="24"/>
  <c r="G48" i="6"/>
  <c r="U41" i="24"/>
  <c r="G154" i="6"/>
  <c r="U146" i="24"/>
  <c r="R146" i="24"/>
  <c r="B84" i="6"/>
  <c r="P76" i="24"/>
  <c r="P95" i="24"/>
  <c r="B43" i="8"/>
  <c r="E77" i="8"/>
  <c r="S68" i="26"/>
  <c r="S35" i="26"/>
  <c r="G8" i="2"/>
  <c r="B44" i="4"/>
  <c r="B11" i="4"/>
  <c r="B8" i="4"/>
  <c r="G63" i="5"/>
  <c r="U55" i="20"/>
  <c r="D75" i="6"/>
  <c r="R68" i="24"/>
  <c r="G76" i="6"/>
  <c r="G75" i="6"/>
  <c r="U68" i="24"/>
  <c r="D150" i="6"/>
  <c r="R142" i="24"/>
  <c r="E84" i="6"/>
  <c r="S76" i="24"/>
  <c r="D72" i="4"/>
  <c r="D74" i="4"/>
  <c r="R39" i="18"/>
  <c r="G19" i="6"/>
  <c r="U12" i="24"/>
  <c r="D18" i="6"/>
  <c r="D62" i="6"/>
  <c r="R55" i="24"/>
  <c r="C9" i="6"/>
  <c r="C159" i="6"/>
  <c r="Q150" i="24"/>
  <c r="C84" i="6"/>
  <c r="Q76" i="24"/>
  <c r="F9" i="8"/>
  <c r="D33" i="9"/>
  <c r="R24" i="27"/>
  <c r="D13" i="4"/>
  <c r="R6" i="18"/>
  <c r="D44" i="4"/>
  <c r="B57" i="4"/>
  <c r="B59" i="4"/>
  <c r="C16" i="5"/>
  <c r="Q10" i="20"/>
  <c r="B65" i="5"/>
  <c r="P56" i="20"/>
  <c r="C54" i="5"/>
  <c r="C65" i="5"/>
  <c r="Q56" i="20"/>
  <c r="D10" i="6"/>
  <c r="E9" i="6"/>
  <c r="S2" i="24"/>
  <c r="F84" i="6"/>
  <c r="T76" i="24"/>
  <c r="B33" i="9"/>
  <c r="P24" i="27"/>
  <c r="G11" i="6"/>
  <c r="U4" i="24"/>
  <c r="G63" i="6"/>
  <c r="G72" i="6"/>
  <c r="U65" i="24"/>
  <c r="G22" i="9"/>
  <c r="G71" i="6"/>
  <c r="U64" i="24"/>
  <c r="T2" i="26"/>
  <c r="F77" i="8"/>
  <c r="T68" i="26"/>
  <c r="R38" i="18"/>
  <c r="P25" i="18"/>
  <c r="B72" i="4"/>
  <c r="B74" i="4"/>
  <c r="P39" i="18"/>
  <c r="P36" i="18"/>
  <c r="G102" i="7"/>
  <c r="U4" i="25"/>
  <c r="U2" i="25"/>
  <c r="R3" i="24"/>
  <c r="G18" i="6"/>
  <c r="U11" i="24"/>
  <c r="G20" i="2"/>
  <c r="U13" i="16"/>
  <c r="U3" i="16"/>
  <c r="F159" i="6"/>
  <c r="T150" i="24"/>
  <c r="D11" i="4"/>
  <c r="R5" i="18"/>
  <c r="R25" i="18"/>
  <c r="U56" i="24"/>
  <c r="G10" i="6"/>
  <c r="Q2" i="24"/>
  <c r="B70" i="5"/>
  <c r="F81" i="1"/>
  <c r="Q120" i="15"/>
  <c r="Q104" i="15"/>
  <c r="G65" i="5"/>
  <c r="U56" i="20"/>
  <c r="U69" i="24"/>
  <c r="P35" i="26"/>
  <c r="C62" i="1"/>
  <c r="Q54" i="15"/>
  <c r="Q42" i="15"/>
  <c r="D8" i="4"/>
  <c r="P5" i="18"/>
  <c r="P2" i="18"/>
  <c r="T21" i="30"/>
  <c r="T22" i="30"/>
  <c r="T25" i="30"/>
  <c r="T27" i="30"/>
  <c r="P4" i="16"/>
  <c r="P3" i="16"/>
  <c r="B20" i="2"/>
  <c r="P13" i="16"/>
  <c r="B23" i="4"/>
  <c r="P12" i="18"/>
  <c r="E159" i="6"/>
  <c r="S150" i="24"/>
  <c r="B159" i="6"/>
  <c r="P150" i="24"/>
  <c r="P2" i="24"/>
  <c r="A2" i="8"/>
  <c r="A2" i="6"/>
  <c r="A2" i="1"/>
  <c r="A2" i="2"/>
  <c r="A2" i="4"/>
  <c r="A2" i="5"/>
  <c r="A2" i="3"/>
  <c r="G41" i="5"/>
  <c r="U29" i="20"/>
  <c r="D70" i="5"/>
  <c r="R34" i="20"/>
  <c r="T56" i="20"/>
  <c r="F70" i="5"/>
  <c r="G27" i="10"/>
  <c r="U20" i="28"/>
  <c r="T20" i="28"/>
  <c r="D21" i="4"/>
  <c r="R2" i="18"/>
  <c r="P38" i="18"/>
  <c r="C41" i="5"/>
  <c r="U32" i="24"/>
  <c r="G21" i="9"/>
  <c r="U14" i="27"/>
  <c r="Q46" i="20"/>
  <c r="U23" i="24"/>
  <c r="G28" i="6"/>
  <c r="U21" i="24"/>
  <c r="P6" i="18"/>
  <c r="Q25" i="18"/>
  <c r="C11" i="4"/>
  <c r="Q8" i="18"/>
  <c r="C68" i="4"/>
  <c r="Q36" i="18"/>
  <c r="C13" i="4"/>
  <c r="Q6" i="18"/>
  <c r="G85" i="6"/>
  <c r="U78" i="24"/>
  <c r="G16" i="10"/>
  <c r="U10" i="28"/>
  <c r="T10" i="28"/>
  <c r="F15" i="10"/>
  <c r="S9" i="28"/>
  <c r="B29" i="13"/>
  <c r="P22" i="31"/>
  <c r="P2" i="31"/>
  <c r="R11" i="24"/>
  <c r="D9" i="6"/>
  <c r="E81" i="1"/>
  <c r="P120" i="15"/>
  <c r="P104" i="15"/>
  <c r="F26" i="10"/>
  <c r="S19" i="28"/>
  <c r="U3" i="24"/>
  <c r="B62" i="1"/>
  <c r="P54" i="15"/>
  <c r="P42" i="15"/>
  <c r="U58" i="24"/>
  <c r="G62" i="6"/>
  <c r="U55" i="24"/>
  <c r="A2" i="11"/>
  <c r="D23" i="10"/>
  <c r="C22" i="10"/>
  <c r="Q15" i="28"/>
  <c r="A2" i="13"/>
  <c r="C6" i="10"/>
  <c r="E6" i="11"/>
  <c r="D93" i="6"/>
  <c r="R85" i="24"/>
  <c r="B9" i="8"/>
  <c r="P2" i="26"/>
  <c r="G44" i="8"/>
  <c r="G62" i="8"/>
  <c r="D61" i="8"/>
  <c r="F36" i="10"/>
  <c r="E30" i="10"/>
  <c r="D35" i="10"/>
  <c r="R25" i="28"/>
  <c r="E31" i="12"/>
  <c r="S23" i="30"/>
  <c r="C31" i="12"/>
  <c r="Q23" i="30"/>
  <c r="D6" i="10"/>
  <c r="G103" i="6"/>
  <c r="U95" i="24"/>
  <c r="D19" i="8"/>
  <c r="R12" i="26"/>
  <c r="G27" i="8"/>
  <c r="U20" i="26"/>
  <c r="G71" i="8"/>
  <c r="U63" i="26"/>
  <c r="C21" i="9"/>
  <c r="D37" i="10"/>
  <c r="R27" i="28"/>
  <c r="F30" i="11"/>
  <c r="T22" i="29"/>
  <c r="G31" i="12"/>
  <c r="U23" i="30"/>
  <c r="F31" i="12"/>
  <c r="T23" i="30"/>
  <c r="D31" i="12"/>
  <c r="R23" i="30"/>
  <c r="C29" i="13"/>
  <c r="Q22" i="31"/>
  <c r="D85" i="6"/>
  <c r="D103" i="6"/>
  <c r="R95" i="24"/>
  <c r="G124" i="6"/>
  <c r="G137" i="6"/>
  <c r="U129" i="24"/>
  <c r="G146" i="6"/>
  <c r="U138" i="24"/>
  <c r="C77" i="8"/>
  <c r="Q68" i="26"/>
  <c r="D9" i="10"/>
  <c r="C8" i="10"/>
  <c r="Q2" i="28"/>
  <c r="C32" i="10"/>
  <c r="Q23" i="28"/>
  <c r="B8" i="10"/>
  <c r="P2" i="28"/>
  <c r="G20" i="8"/>
  <c r="G38" i="8"/>
  <c r="D9" i="8"/>
  <c r="R2" i="26"/>
  <c r="B32" i="10"/>
  <c r="P23" i="28"/>
  <c r="U36" i="26"/>
  <c r="D22" i="10"/>
  <c r="E23" i="10"/>
  <c r="R16" i="28"/>
  <c r="G26" i="10"/>
  <c r="U19" i="28"/>
  <c r="T19" i="28"/>
  <c r="B77" i="8"/>
  <c r="P68" i="26"/>
  <c r="G123" i="6"/>
  <c r="U115" i="24"/>
  <c r="U116" i="24"/>
  <c r="G36" i="10"/>
  <c r="T26" i="28"/>
  <c r="G9" i="6"/>
  <c r="G15" i="10"/>
  <c r="U9" i="28"/>
  <c r="T9" i="28"/>
  <c r="G84" i="6"/>
  <c r="U76" i="24"/>
  <c r="U77" i="24"/>
  <c r="U13" i="27"/>
  <c r="G33" i="9"/>
  <c r="U24" i="27"/>
  <c r="G37" i="8"/>
  <c r="U30" i="26"/>
  <c r="U31" i="26"/>
  <c r="C33" i="9"/>
  <c r="Q24" i="27"/>
  <c r="Q13" i="27"/>
  <c r="R53" i="26"/>
  <c r="D43" i="8"/>
  <c r="C72" i="4"/>
  <c r="C8" i="4"/>
  <c r="Q5" i="18"/>
  <c r="D23" i="4"/>
  <c r="R12" i="18"/>
  <c r="G42" i="5"/>
  <c r="U35" i="20"/>
  <c r="U34" i="20"/>
  <c r="G70" i="5"/>
  <c r="U13" i="26"/>
  <c r="G19" i="8"/>
  <c r="D8" i="10"/>
  <c r="R2" i="28"/>
  <c r="E9" i="10"/>
  <c r="R3" i="28"/>
  <c r="R77" i="24"/>
  <c r="D84" i="6"/>
  <c r="R76" i="24"/>
  <c r="E35" i="10"/>
  <c r="F30" i="10"/>
  <c r="E29" i="10"/>
  <c r="S22" i="28"/>
  <c r="U54" i="26"/>
  <c r="G61" i="8"/>
  <c r="U53" i="26"/>
  <c r="R2" i="24"/>
  <c r="Q34" i="20"/>
  <c r="C70" i="5"/>
  <c r="B25" i="4"/>
  <c r="P13" i="18"/>
  <c r="G30" i="10"/>
  <c r="T22" i="28"/>
  <c r="F29" i="10"/>
  <c r="F35" i="10"/>
  <c r="Q38" i="18"/>
  <c r="C74" i="4"/>
  <c r="Q39" i="18"/>
  <c r="R15" i="28"/>
  <c r="D32" i="10"/>
  <c r="R23" i="28"/>
  <c r="S25" i="28"/>
  <c r="E37" i="10"/>
  <c r="S27" i="28"/>
  <c r="F9" i="10"/>
  <c r="E8" i="10"/>
  <c r="S2" i="28"/>
  <c r="S3" i="28"/>
  <c r="R13" i="18"/>
  <c r="D25" i="4"/>
  <c r="D77" i="8"/>
  <c r="R68" i="26"/>
  <c r="R35" i="26"/>
  <c r="U2" i="24"/>
  <c r="G159" i="6"/>
  <c r="U150" i="24"/>
  <c r="G43" i="8"/>
  <c r="P14" i="18"/>
  <c r="B33" i="4"/>
  <c r="P18" i="18"/>
  <c r="D159" i="6"/>
  <c r="R150" i="24"/>
  <c r="E32" i="10"/>
  <c r="S23" i="28"/>
  <c r="S21" i="28"/>
  <c r="U12" i="26"/>
  <c r="G9" i="8"/>
  <c r="U2" i="26"/>
  <c r="C21" i="4"/>
  <c r="Q2" i="18"/>
  <c r="U26" i="28"/>
  <c r="F23" i="10"/>
  <c r="E22" i="10"/>
  <c r="S15" i="28"/>
  <c r="S16" i="28"/>
  <c r="U35" i="26"/>
  <c r="G77" i="8"/>
  <c r="U68" i="26"/>
  <c r="T25" i="28"/>
  <c r="F37" i="10"/>
  <c r="T27" i="28"/>
  <c r="F22" i="10"/>
  <c r="T15" i="28"/>
  <c r="G23" i="10"/>
  <c r="T16" i="28"/>
  <c r="D33" i="4"/>
  <c r="R18" i="18"/>
  <c r="R14" i="18"/>
  <c r="G9" i="10"/>
  <c r="F8" i="10"/>
  <c r="T2" i="28"/>
  <c r="T3" i="28"/>
  <c r="T21" i="28"/>
  <c r="Q12" i="18"/>
  <c r="C23" i="4"/>
  <c r="G35" i="10"/>
  <c r="G29" i="10"/>
  <c r="U22" i="28"/>
  <c r="C25" i="4"/>
  <c r="Q13" i="18"/>
  <c r="G8" i="10"/>
  <c r="U2" i="28"/>
  <c r="U3" i="28"/>
  <c r="G22" i="10"/>
  <c r="U15" i="28"/>
  <c r="U16" i="28"/>
  <c r="U21" i="28"/>
  <c r="G32" i="10"/>
  <c r="U23" i="28"/>
  <c r="U25" i="28"/>
  <c r="G37" i="10"/>
  <c r="U27" i="28"/>
  <c r="F32" i="10"/>
  <c r="T23" i="28"/>
  <c r="C33" i="4"/>
  <c r="Q18" i="18"/>
  <c r="Q14" i="18"/>
  <c r="T15" i="16"/>
  <c r="F27" i="2"/>
  <c r="Q14" i="16"/>
  <c r="C22" i="2"/>
  <c r="V14" i="16"/>
  <c r="H22" i="2"/>
  <c r="R14" i="16"/>
  <c r="D22" i="2"/>
  <c r="Q15" i="16"/>
  <c r="C27" i="2"/>
  <c r="R15" i="16"/>
  <c r="D27" i="2"/>
  <c r="U14" i="16"/>
  <c r="G22" i="2"/>
  <c r="V15" i="16"/>
  <c r="H27" i="2"/>
  <c r="S15" i="16"/>
  <c r="F22" i="2"/>
  <c r="G27" i="2"/>
  <c r="U15" i="16"/>
  <c r="S14" i="16"/>
  <c r="E27" i="2"/>
  <c r="E22" i="2"/>
  <c r="T14" i="16"/>
</calcChain>
</file>

<file path=xl/sharedStrings.xml><?xml version="1.0" encoding="utf-8"?>
<sst xmlns="http://schemas.openxmlformats.org/spreadsheetml/2006/main" count="4316" uniqueCount="3362">
  <si>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</si>
  <si>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</si>
  <si>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</si>
  <si>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</si>
  <si>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</si>
  <si>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</si>
  <si>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</si>
  <si>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</si>
  <si>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</si>
  <si>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</si>
  <si>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</si>
  <si>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</si>
  <si>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</si>
  <si>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</si>
  <si>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</si>
  <si>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</si>
  <si>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</si>
  <si>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</si>
  <si>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</si>
  <si>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</si>
  <si>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</si>
  <si>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</si>
  <si>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</si>
  <si>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</si>
  <si>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</si>
  <si>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</si>
  <si>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</si>
  <si>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</si>
  <si>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</si>
  <si>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</si>
  <si>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</si>
  <si>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</si>
  <si>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</si>
  <si>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</si>
  <si>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</si>
  <si>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</si>
  <si>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</si>
  <si>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</si>
  <si>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</si>
  <si>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</si>
  <si>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</si>
  <si>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</si>
  <si>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</si>
  <si>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</si>
  <si>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</si>
  <si>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</si>
  <si>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</si>
  <si>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</si>
  <si>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</si>
  <si>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</si>
  <si>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</si>
  <si>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</si>
  <si>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</si>
  <si>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</si>
  <si>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</si>
  <si>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</si>
  <si>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</si>
  <si>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</si>
  <si>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</si>
  <si>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</si>
  <si>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</si>
  <si>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</si>
  <si>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</si>
  <si>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</si>
  <si>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</si>
  <si>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</si>
  <si>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</si>
  <si>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</si>
  <si>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</si>
  <si>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</si>
  <si>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</si>
  <si>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</si>
  <si>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</si>
  <si>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</si>
  <si>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</si>
  <si>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</si>
  <si>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</si>
  <si>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</si>
  <si>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</si>
  <si>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</si>
  <si>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</si>
  <si>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</si>
  <si>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</si>
  <si>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</si>
  <si>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</si>
  <si>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</si>
  <si>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</si>
  <si>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</si>
  <si>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</si>
  <si>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</si>
  <si>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</si>
  <si>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</si>
  <si>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</si>
  <si>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</si>
  <si>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</si>
  <si>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</si>
  <si>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</si>
  <si>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</si>
  <si>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</si>
  <si>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</si>
  <si>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</si>
  <si>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</si>
  <si>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</si>
  <si>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</si>
  <si>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</si>
  <si>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</si>
  <si>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</si>
  <si>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</si>
  <si>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</si>
  <si>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</si>
  <si>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</si>
  <si>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</si>
  <si>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</si>
  <si>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</si>
  <si>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</si>
  <si>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</si>
  <si>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</si>
  <si>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</si>
  <si>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</si>
  <si>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</si>
  <si>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</si>
  <si>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</si>
  <si>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</si>
  <si>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</si>
  <si>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</si>
  <si>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</si>
  <si>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</si>
  <si>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</si>
  <si>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</si>
  <si>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</si>
  <si>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</si>
  <si>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</si>
  <si>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</si>
  <si>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</si>
  <si>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</si>
  <si>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</si>
  <si>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</si>
  <si>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</si>
  <si>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</si>
  <si>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</si>
  <si>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</si>
  <si>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</si>
  <si>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</si>
  <si>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</si>
  <si>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</si>
  <si>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</si>
  <si>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</si>
  <si>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</si>
  <si>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</si>
  <si>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</si>
  <si>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</si>
  <si>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</si>
  <si>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</si>
  <si>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</si>
  <si>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</si>
  <si>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</si>
  <si>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</si>
  <si>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</si>
  <si>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</si>
  <si>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</si>
  <si>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</si>
  <si>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</si>
  <si>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</si>
  <si>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</si>
  <si>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</si>
  <si>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</si>
  <si>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</si>
  <si>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</si>
  <si>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</si>
  <si>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</si>
  <si>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</si>
  <si>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</si>
  <si>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</si>
  <si>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</si>
  <si>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</si>
  <si>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</si>
  <si>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</si>
  <si>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</si>
  <si>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</si>
  <si>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</si>
  <si>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</si>
  <si>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</si>
  <si>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</si>
  <si>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</si>
  <si>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</si>
  <si>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</si>
  <si>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</si>
  <si>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</si>
  <si>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</si>
  <si>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</si>
  <si>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</si>
  <si>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</si>
  <si>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</si>
  <si>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</si>
  <si>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</si>
  <si>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</si>
  <si>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</si>
  <si>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</si>
  <si>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</si>
  <si>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</si>
  <si>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</si>
  <si>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</si>
  <si>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</si>
  <si>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</si>
  <si>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</si>
  <si>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</si>
  <si>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</si>
  <si>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</si>
  <si>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</si>
  <si>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</si>
  <si>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</si>
  <si>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</si>
  <si>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</si>
  <si>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</si>
  <si>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</si>
  <si>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</si>
  <si>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</si>
  <si>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</si>
  <si>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</si>
  <si>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</si>
  <si>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</si>
  <si>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</si>
  <si>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</si>
  <si>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</si>
  <si>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</si>
  <si>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</si>
  <si>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</si>
  <si>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</si>
  <si>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</si>
  <si>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</si>
  <si>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</si>
  <si>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</si>
  <si>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</si>
  <si>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</si>
  <si>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</si>
  <si>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</si>
  <si>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</si>
  <si>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</si>
  <si>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</si>
  <si>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</si>
  <si>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</si>
  <si>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</si>
  <si>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</si>
  <si>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</si>
  <si>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</si>
  <si>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</si>
  <si>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</si>
  <si>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</si>
  <si>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</si>
  <si>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</si>
  <si>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</si>
  <si>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</si>
  <si>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</si>
  <si>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</si>
  <si>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</si>
  <si>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</si>
  <si>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</si>
  <si>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</si>
  <si>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</si>
  <si>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</si>
  <si>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</si>
  <si>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</si>
  <si>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</si>
  <si>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</si>
  <si>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</si>
  <si>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</si>
  <si>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</si>
  <si>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</si>
  <si>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</si>
  <si>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</si>
  <si>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</si>
  <si>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</si>
  <si>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</si>
  <si>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</si>
  <si>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</si>
  <si>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</si>
  <si>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</si>
  <si>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</si>
  <si>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</si>
  <si>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</si>
  <si>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</si>
  <si>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</si>
  <si>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</si>
  <si>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</si>
  <si>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</si>
  <si>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</si>
  <si>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</si>
  <si>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</si>
  <si>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</si>
  <si>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</si>
  <si>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</si>
  <si>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</si>
  <si>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</si>
  <si>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</si>
  <si>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</si>
  <si>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</si>
  <si>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</si>
  <si>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</si>
  <si>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</si>
  <si>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</si>
  <si>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</si>
  <si>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</si>
  <si>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</si>
  <si>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</si>
  <si>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</si>
  <si>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</si>
  <si>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</si>
  <si>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</si>
  <si>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</si>
  <si>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</si>
  <si>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</si>
  <si>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</si>
  <si>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</si>
  <si>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</si>
  <si>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</si>
  <si>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</si>
  <si>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</si>
  <si>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</si>
  <si>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</si>
  <si>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</si>
  <si>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</si>
  <si>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</si>
  <si>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</si>
  <si>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</si>
  <si>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</si>
  <si>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</si>
  <si>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</si>
  <si>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</si>
  <si>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</si>
  <si>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</si>
  <si>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</si>
  <si>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</si>
  <si>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</si>
  <si>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</si>
  <si>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</si>
  <si>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</si>
  <si>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</si>
  <si>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</si>
  <si>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</si>
  <si>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</si>
  <si>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</si>
  <si>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</si>
  <si>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</si>
  <si>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</si>
  <si>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</si>
  <si>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</si>
  <si>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</si>
  <si>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</si>
  <si>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</si>
  <si>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</si>
  <si>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</si>
  <si>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</si>
  <si>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</si>
  <si>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</si>
  <si>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</si>
  <si>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</si>
  <si>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</si>
  <si>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</si>
  <si>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</si>
  <si>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</si>
  <si>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</si>
  <si>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</si>
  <si>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</si>
  <si>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</si>
  <si>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</si>
  <si>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</si>
  <si>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</si>
  <si>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</si>
  <si>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</si>
  <si>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</si>
  <si>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</si>
  <si>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</si>
  <si>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</si>
  <si>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</si>
  <si>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</si>
  <si>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</si>
  <si>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</si>
  <si>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</si>
  <si>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</si>
  <si>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</si>
  <si>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</si>
  <si>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</si>
  <si>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</si>
  <si>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</si>
  <si>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</si>
  <si>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</si>
  <si>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</si>
  <si>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</si>
  <si>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</si>
  <si>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</si>
  <si>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</si>
  <si>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</si>
  <si>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</si>
  <si>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</si>
  <si>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</si>
  <si>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</si>
  <si>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</si>
  <si>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</si>
  <si>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</si>
  <si>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</si>
  <si>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</si>
  <si>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</si>
  <si>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</si>
  <si>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</si>
  <si>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</si>
  <si>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</si>
  <si>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</si>
  <si>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</si>
  <si>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</si>
  <si>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</si>
  <si>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</si>
  <si>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</si>
  <si>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</si>
  <si>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</si>
  <si>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</si>
  <si>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</si>
  <si>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</si>
  <si>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</si>
  <si>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</si>
  <si>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</si>
  <si>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</si>
  <si>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</si>
  <si>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</si>
  <si>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</si>
  <si>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</si>
  <si>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</si>
  <si>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</si>
  <si>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</si>
  <si>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</si>
  <si>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</si>
  <si>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</si>
  <si>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</si>
  <si>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</si>
  <si>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</si>
  <si>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</si>
  <si>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</si>
  <si>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</si>
  <si>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</si>
  <si>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</si>
  <si>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</si>
  <si>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</si>
  <si>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</si>
  <si>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</si>
  <si>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</si>
  <si>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</si>
  <si>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</si>
  <si>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</si>
  <si>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</si>
  <si>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</si>
  <si>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</si>
  <si>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</si>
  <si>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</si>
  <si>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</si>
  <si>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</si>
  <si>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</si>
  <si>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</si>
  <si>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</si>
  <si>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</si>
  <si>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</si>
  <si>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</si>
  <si>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</si>
  <si>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</si>
  <si>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</si>
  <si>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</si>
  <si>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</si>
  <si>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</si>
  <si>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</si>
  <si>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</si>
  <si>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</si>
  <si>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</si>
  <si>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</si>
  <si>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</si>
  <si>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</si>
  <si>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</si>
  <si>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</si>
  <si>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</si>
  <si>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</si>
  <si>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</si>
  <si>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</si>
  <si>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</si>
  <si>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</si>
  <si>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</si>
  <si>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</si>
  <si>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</si>
  <si>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</si>
  <si>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</si>
  <si>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</si>
  <si>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</si>
  <si>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</si>
  <si>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</si>
  <si>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</si>
  <si>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</si>
  <si>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</si>
  <si>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</si>
  <si>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</si>
  <si>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</si>
  <si>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</si>
  <si>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</si>
  <si>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</si>
  <si>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</si>
  <si>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</si>
  <si>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</si>
  <si>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</si>
  <si>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</si>
  <si>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</si>
  <si>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</si>
  <si>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</si>
  <si>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</si>
  <si>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</si>
  <si>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</si>
  <si>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</si>
  <si>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</si>
  <si>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</si>
  <si>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</si>
  <si>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</si>
  <si>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</si>
  <si>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</si>
  <si>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</si>
  <si>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</si>
  <si>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</si>
  <si>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</si>
  <si>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</si>
  <si>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</si>
  <si>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</si>
  <si>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</si>
  <si>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</si>
  <si>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</si>
  <si>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</si>
  <si>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</si>
  <si>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</si>
  <si>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</si>
  <si>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</si>
  <si>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</si>
  <si>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</si>
  <si>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</si>
  <si>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</si>
  <si>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</si>
  <si>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</si>
  <si>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</si>
  <si>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</si>
  <si>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</si>
  <si>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</si>
  <si>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</si>
  <si>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</si>
  <si>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</si>
  <si>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</si>
  <si>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</si>
  <si>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</si>
  <si>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</si>
  <si>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</si>
  <si>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</si>
  <si>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</si>
  <si>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</si>
  <si>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</si>
  <si>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</si>
  <si>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</si>
  <si>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</si>
  <si>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</si>
  <si>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</si>
  <si>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</si>
  <si>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</si>
  <si>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</si>
  <si>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</si>
  <si>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</si>
  <si>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</si>
  <si>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</si>
  <si>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</si>
  <si>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</si>
  <si>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</si>
  <si>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</si>
  <si>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</si>
  <si>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</si>
  <si>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</si>
  <si>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</si>
  <si>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</si>
  <si>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</si>
  <si>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</si>
  <si>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</si>
  <si>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</si>
  <si>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</si>
  <si>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</si>
  <si>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</si>
  <si>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</si>
  <si>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</si>
  <si>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</si>
  <si>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</si>
  <si>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</si>
  <si>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</si>
  <si>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</si>
  <si>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</si>
  <si>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</si>
  <si>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</si>
  <si>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</si>
  <si>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</si>
  <si>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</si>
  <si>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</si>
  <si>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</si>
  <si>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</si>
  <si>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</si>
  <si>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</si>
  <si>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</si>
  <si>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</si>
  <si>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</si>
  <si>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</si>
  <si>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</si>
  <si>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</si>
  <si>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</si>
  <si>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</si>
  <si>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</si>
  <si>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</si>
  <si>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</si>
  <si>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</si>
  <si>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</si>
  <si>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</si>
  <si>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</si>
  <si>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</si>
  <si>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</si>
  <si>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</si>
  <si>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</si>
  <si>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</si>
  <si>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</si>
  <si>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</si>
  <si>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</si>
  <si>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</si>
  <si>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</si>
  <si>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</si>
  <si>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</si>
  <si>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</si>
  <si>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</si>
  <si>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</si>
  <si>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</si>
  <si>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</si>
  <si>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</si>
  <si>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</si>
  <si>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</si>
  <si>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</si>
  <si>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</si>
  <si>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</si>
  <si>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</si>
  <si>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</si>
  <si>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</si>
  <si>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</si>
  <si>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</si>
  <si>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</si>
  <si>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</si>
  <si>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</si>
  <si>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</si>
  <si>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</si>
  <si>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</si>
  <si>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</si>
  <si>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</si>
  <si>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</si>
  <si>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</si>
  <si>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</si>
  <si>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</si>
  <si>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</si>
  <si>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</si>
  <si>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</si>
  <si>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</si>
  <si>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</si>
  <si>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</si>
  <si>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</si>
  <si>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</si>
  <si>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</si>
  <si>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</si>
  <si>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</si>
  <si>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</si>
  <si>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</si>
  <si>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</si>
  <si>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</si>
  <si>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</si>
  <si>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</si>
  <si>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</si>
  <si>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</si>
  <si>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</si>
  <si>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</si>
  <si>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</si>
  <si>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</si>
  <si>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</si>
  <si>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</si>
  <si>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</si>
  <si>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</si>
  <si>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</si>
  <si>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</si>
  <si>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</si>
  <si>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</si>
  <si>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</si>
  <si>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</si>
  <si>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</si>
  <si>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</si>
  <si>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</si>
  <si>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</si>
  <si>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</si>
  <si>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</si>
  <si>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</si>
  <si>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</si>
  <si>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</si>
  <si>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</si>
  <si>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</si>
  <si>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</si>
  <si>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</si>
  <si>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</si>
  <si>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</si>
  <si>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</si>
  <si>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</si>
  <si>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</si>
  <si>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</si>
  <si>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</si>
  <si>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</si>
  <si>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</si>
  <si>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</si>
  <si>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</si>
  <si>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</si>
  <si>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</si>
  <si>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</si>
  <si>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</si>
  <si>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</si>
  <si>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</si>
  <si>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</si>
  <si>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</si>
  <si>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</si>
  <si>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</si>
  <si>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</si>
  <si>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</si>
  <si>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</si>
  <si>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</si>
  <si>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</si>
  <si>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</si>
  <si>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</si>
  <si>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</si>
  <si>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</si>
  <si>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</si>
  <si>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</si>
  <si>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</si>
  <si>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</si>
  <si>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</si>
  <si>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</si>
  <si>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</si>
  <si>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</si>
  <si>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</si>
  <si>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</si>
  <si>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</si>
  <si>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</si>
  <si>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</si>
  <si>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</si>
  <si>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</si>
  <si>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</si>
  <si>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</si>
  <si>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</si>
  <si>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</si>
  <si>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</si>
  <si>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</si>
  <si>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</si>
  <si>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</si>
  <si>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</si>
  <si>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</si>
  <si>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</si>
  <si>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</si>
  <si>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</si>
  <si>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</si>
  <si>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</si>
  <si>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</si>
  <si>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</si>
  <si>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</si>
  <si>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</si>
  <si>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</si>
  <si>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</si>
  <si>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</si>
  <si>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</si>
  <si>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</si>
  <si>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</si>
  <si>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</si>
  <si>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</si>
  <si>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</si>
  <si>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</si>
  <si>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</si>
  <si>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</si>
  <si>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</si>
  <si>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</si>
  <si>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</si>
  <si>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</si>
  <si>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</si>
  <si>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</si>
  <si>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</si>
  <si>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</si>
  <si>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</si>
  <si>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</si>
  <si>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</si>
  <si>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</si>
  <si>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</si>
  <si>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</si>
  <si>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</si>
  <si>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</si>
  <si>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</si>
  <si>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</si>
  <si>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</si>
  <si>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</si>
  <si>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</si>
  <si>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</si>
  <si>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</si>
  <si>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</si>
  <si>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</si>
  <si>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</si>
  <si>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</si>
  <si>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</si>
  <si>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</si>
  <si>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</si>
  <si>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</si>
  <si>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</si>
  <si>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</si>
  <si>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</si>
  <si>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</si>
  <si>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</si>
  <si>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</si>
  <si>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</si>
  <si>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</si>
  <si>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</si>
  <si>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</si>
  <si>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</si>
  <si>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</si>
  <si>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</si>
  <si>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</si>
  <si>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</si>
  <si>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</si>
  <si>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</si>
  <si>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</si>
  <si>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</si>
  <si>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</si>
  <si>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</si>
  <si>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</si>
  <si>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</si>
  <si>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</si>
  <si>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</si>
  <si>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</si>
  <si>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</si>
  <si>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</si>
  <si>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</si>
  <si>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</si>
  <si>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</si>
  <si>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</si>
  <si>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</si>
  <si>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</si>
  <si>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</si>
  <si>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</si>
  <si>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</si>
  <si>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</si>
  <si>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</si>
  <si>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</si>
  <si>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</si>
  <si>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</si>
  <si>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</si>
  <si>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</si>
  <si>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</si>
  <si>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</si>
  <si>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</si>
  <si>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</si>
  <si>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</si>
  <si>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</si>
  <si>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</si>
  <si>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</si>
  <si>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</si>
  <si>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</si>
  <si>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</si>
  <si>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</si>
  <si>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</si>
  <si>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</si>
  <si>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</si>
  <si>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</si>
  <si>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</si>
  <si>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</si>
  <si>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</si>
  <si>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</si>
  <si>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</si>
  <si>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</si>
  <si>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</si>
  <si>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</si>
  <si>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</si>
  <si>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</si>
  <si>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</si>
  <si>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</si>
  <si>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</si>
  <si>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</si>
  <si>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</si>
  <si>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</si>
  <si>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</si>
  <si>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</si>
  <si>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</si>
  <si>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</si>
  <si>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</si>
  <si>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</si>
  <si>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</si>
  <si>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</si>
  <si>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</si>
  <si>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</si>
  <si>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</si>
  <si>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</si>
  <si>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</si>
  <si>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</si>
  <si>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</si>
  <si>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</si>
  <si>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</si>
  <si>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</si>
  <si>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</si>
  <si>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</si>
  <si>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</si>
  <si>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</si>
  <si>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</si>
  <si>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</si>
  <si>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</si>
  <si>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</si>
  <si>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</si>
  <si>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</si>
  <si>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</si>
  <si>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</si>
  <si>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</si>
  <si>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</si>
  <si>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</si>
  <si>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</si>
  <si>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</si>
  <si>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</si>
  <si>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</si>
  <si>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</si>
  <si>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</si>
  <si>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</si>
  <si>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</si>
  <si>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</si>
  <si>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</si>
  <si>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</si>
  <si>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</si>
  <si>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</si>
  <si>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</si>
  <si>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</si>
  <si>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</si>
  <si>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</si>
  <si>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</si>
  <si>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</si>
  <si>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</si>
  <si>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</si>
  <si>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</si>
  <si>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</si>
  <si>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</si>
  <si>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</si>
  <si>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</si>
  <si>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</si>
  <si>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</si>
  <si>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</si>
  <si>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</si>
  <si>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</si>
  <si>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</si>
  <si>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</si>
  <si>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</si>
  <si>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</si>
  <si>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</si>
  <si>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</si>
  <si>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</si>
  <si>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</si>
  <si>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</si>
  <si>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</si>
  <si>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</si>
  <si>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</si>
  <si>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</si>
  <si>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</si>
  <si>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</si>
  <si>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</si>
  <si>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</si>
  <si>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</si>
  <si>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</si>
  <si>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</si>
  <si>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</si>
  <si>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</si>
  <si>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</si>
  <si>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</si>
  <si>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</si>
  <si>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</si>
  <si>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</si>
  <si>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</si>
  <si>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</si>
  <si>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</si>
  <si>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</si>
  <si>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</si>
  <si>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</si>
  <si>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</si>
  <si>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</si>
  <si>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</si>
  <si>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</si>
  <si>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</si>
  <si>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</si>
  <si>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</si>
  <si>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</si>
  <si>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</si>
  <si>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</si>
  <si>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</si>
  <si>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</si>
  <si>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</si>
  <si>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</si>
  <si>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</si>
  <si>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</si>
  <si>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</si>
  <si>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</si>
  <si>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</si>
  <si>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</si>
  <si>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</si>
  <si>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</si>
  <si>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</si>
  <si>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</si>
  <si>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</si>
  <si>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</si>
  <si>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</si>
  <si>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</si>
  <si>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</si>
  <si>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</si>
  <si>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</si>
  <si>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</si>
  <si>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</si>
  <si>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</si>
  <si>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</si>
  <si>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</si>
  <si>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</si>
  <si>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</si>
  <si>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</si>
  <si>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</si>
  <si>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</si>
  <si>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</si>
  <si>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</si>
  <si>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</si>
  <si>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</si>
  <si>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</si>
  <si>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</si>
  <si>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</si>
  <si>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</si>
  <si>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</si>
  <si>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</si>
  <si>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</si>
  <si>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</si>
  <si>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</si>
  <si>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</si>
  <si>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</si>
  <si>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</si>
  <si>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</si>
  <si>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</si>
  <si>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</si>
  <si>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</si>
  <si>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</si>
  <si>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</si>
  <si>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</si>
  <si>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</si>
  <si>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</si>
  <si>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</si>
  <si>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</si>
  <si>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</si>
  <si>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</si>
  <si>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</si>
  <si>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</si>
  <si>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</si>
  <si>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</si>
  <si>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</si>
  <si>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</si>
  <si>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</si>
  <si>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</si>
  <si>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</si>
  <si>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</si>
  <si>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</si>
  <si>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</si>
  <si>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</si>
  <si>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</si>
  <si>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</si>
  <si>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</si>
  <si>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</si>
  <si>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</si>
  <si>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</si>
  <si>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</si>
  <si>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</si>
  <si>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</si>
  <si>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</si>
  <si>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</si>
  <si>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</si>
  <si>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</si>
  <si>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</si>
  <si>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</si>
  <si>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</si>
  <si>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</si>
  <si>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</si>
  <si>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</si>
  <si>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</si>
  <si>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</si>
  <si>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</si>
  <si>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</si>
  <si>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</si>
  <si>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</si>
  <si>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</si>
  <si>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</si>
  <si>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</si>
  <si>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</si>
  <si>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</si>
  <si>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</si>
  <si>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</si>
  <si>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</si>
  <si>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</si>
  <si>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</si>
  <si>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</si>
  <si>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</si>
  <si>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</si>
  <si>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</si>
  <si>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</si>
  <si>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</si>
  <si>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</si>
  <si>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</si>
  <si>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</si>
  <si>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</si>
  <si>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</si>
  <si>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</si>
  <si>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</si>
  <si>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</si>
  <si>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</si>
  <si>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</si>
  <si>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</si>
  <si>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</si>
  <si>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</si>
  <si>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</si>
  <si>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</si>
  <si>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</si>
  <si>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</si>
  <si>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</si>
  <si>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</si>
  <si>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</si>
  <si>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</si>
  <si>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</si>
  <si>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</si>
  <si>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</si>
  <si>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</si>
  <si>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</si>
  <si>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</si>
  <si>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</si>
  <si>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</si>
  <si>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</si>
  <si>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</si>
  <si>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</si>
  <si>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</si>
  <si>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</si>
  <si>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</si>
  <si>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</si>
  <si>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</si>
  <si>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</si>
  <si>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</si>
  <si>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</si>
  <si>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</si>
  <si>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</si>
  <si>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</si>
  <si>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</si>
  <si>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</si>
  <si>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</si>
  <si>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</si>
  <si>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</si>
  <si>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</si>
  <si>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</si>
  <si>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</si>
  <si>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</si>
  <si>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</si>
  <si>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</si>
  <si>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</si>
  <si>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</si>
  <si>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</si>
  <si>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</si>
  <si>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</si>
  <si>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</si>
  <si>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</si>
  <si>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</si>
  <si>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</si>
  <si>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</si>
  <si>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</si>
  <si>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</si>
  <si>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</si>
  <si>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</si>
  <si>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</si>
  <si>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</si>
  <si>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</si>
  <si>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</si>
  <si>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</si>
  <si>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</si>
  <si>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</si>
  <si>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</si>
  <si>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</si>
  <si>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</si>
  <si>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</si>
  <si>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</si>
  <si>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</si>
  <si>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</si>
  <si>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</si>
  <si>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</si>
  <si>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</si>
  <si>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</si>
  <si>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</si>
  <si>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</si>
  <si>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</si>
  <si>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</si>
  <si>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</si>
  <si>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</si>
  <si>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</si>
  <si>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</si>
  <si>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</si>
  <si>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</si>
  <si>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</si>
  <si>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</si>
  <si>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</si>
  <si>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</si>
  <si>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</si>
  <si>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</si>
  <si>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</si>
  <si>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</si>
  <si>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</si>
  <si>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</si>
  <si>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</si>
  <si>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</si>
  <si>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</si>
  <si>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</si>
  <si>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</si>
  <si>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</si>
  <si>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</si>
  <si>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</si>
  <si>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</si>
  <si>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</si>
  <si>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</si>
  <si>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</si>
  <si>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</si>
  <si>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</si>
  <si>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</si>
  <si>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</si>
  <si>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</si>
  <si>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</si>
  <si>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</si>
  <si>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</si>
  <si>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</si>
  <si>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</si>
  <si>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</si>
  <si>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</si>
  <si>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</si>
  <si>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</si>
  <si>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</si>
  <si>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</si>
  <si>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</si>
  <si>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</si>
  <si>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</si>
  <si>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</si>
  <si>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</si>
  <si>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</si>
  <si>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</si>
  <si>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</si>
  <si>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</si>
  <si>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</si>
  <si>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</si>
  <si>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</si>
  <si>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</si>
  <si>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</si>
  <si>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</si>
  <si>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</si>
  <si>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</si>
  <si>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</si>
  <si>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</si>
  <si>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</si>
  <si>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</si>
  <si>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</si>
  <si>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</si>
  <si>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</si>
  <si>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</si>
  <si>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</si>
  <si>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</si>
  <si>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</si>
  <si>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</si>
  <si>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</si>
  <si>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</si>
  <si>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</si>
  <si>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</si>
  <si>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</si>
  <si>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</si>
  <si>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</si>
  <si>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</si>
  <si>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</si>
  <si>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</si>
  <si>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</si>
  <si>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</si>
  <si>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</si>
  <si>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</si>
  <si>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</si>
  <si>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</si>
  <si>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</si>
  <si>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</si>
  <si>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</si>
  <si>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</si>
  <si>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</si>
  <si>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</si>
  <si>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</si>
  <si>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</si>
  <si>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</si>
  <si>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</si>
  <si>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</si>
  <si>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</si>
  <si>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</si>
  <si>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</si>
  <si>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</si>
  <si>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</si>
  <si>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</si>
  <si>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</si>
  <si>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</si>
  <si>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</si>
  <si>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</si>
  <si>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</si>
  <si>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</si>
  <si>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</si>
  <si>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</si>
  <si>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</si>
  <si>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</si>
  <si>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</si>
  <si>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</si>
  <si>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</si>
  <si>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</si>
  <si>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</si>
  <si>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</si>
  <si>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</si>
  <si>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</si>
  <si>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</si>
  <si>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</si>
  <si>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</si>
  <si>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</si>
  <si>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</si>
  <si>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</si>
  <si>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</si>
  <si>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</si>
  <si>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</si>
  <si>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</si>
  <si>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</si>
  <si>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</si>
  <si>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</si>
  <si>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</si>
  <si>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</si>
  <si>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</si>
  <si>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</si>
  <si>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</si>
  <si>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</si>
  <si>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</si>
  <si>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</si>
  <si>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</si>
  <si>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</si>
  <si>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</si>
  <si>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</si>
  <si>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</si>
  <si>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</si>
  <si>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</si>
  <si>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</si>
  <si>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</si>
  <si>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</si>
  <si>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</si>
  <si>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</si>
  <si>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</si>
  <si>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</si>
  <si>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</si>
  <si>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</si>
  <si>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</si>
  <si>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</si>
  <si>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</si>
  <si>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</si>
  <si>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</si>
  <si>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</si>
  <si>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</si>
  <si>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</si>
  <si>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</si>
  <si>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</si>
  <si>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</si>
  <si>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</si>
  <si>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</si>
  <si>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</si>
  <si>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</si>
  <si>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</si>
  <si>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</si>
  <si>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</si>
  <si>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</si>
  <si>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</si>
  <si>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</si>
  <si>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</si>
  <si>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</si>
  <si>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</si>
  <si>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</si>
  <si>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</si>
  <si>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</si>
  <si>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</si>
  <si>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</si>
  <si>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</si>
  <si>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</si>
  <si>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</si>
  <si>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</si>
  <si>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</si>
  <si>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</si>
  <si>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</si>
  <si>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</si>
  <si>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</si>
  <si>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</si>
  <si>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</si>
  <si>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</si>
  <si>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</si>
  <si>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</si>
  <si>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</si>
  <si>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</si>
  <si>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</si>
  <si>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</si>
  <si>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</si>
  <si>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</si>
  <si>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</si>
  <si>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</si>
  <si>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</si>
  <si>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</si>
  <si>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</si>
  <si>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</si>
  <si>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</si>
  <si>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</si>
  <si>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</si>
  <si>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</si>
  <si>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</si>
  <si>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</si>
  <si>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</si>
  <si>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</si>
  <si>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</si>
  <si>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</si>
  <si>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</si>
  <si>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</si>
  <si>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</si>
  <si>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</si>
  <si>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</si>
  <si>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</si>
  <si>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</si>
  <si>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</si>
  <si>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</si>
  <si>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</si>
  <si>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</si>
  <si>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</si>
  <si>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</si>
  <si>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</si>
  <si>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</si>
  <si>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</si>
  <si>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</si>
  <si>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</si>
  <si>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</si>
  <si>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</si>
  <si>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</si>
  <si>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</si>
  <si>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</si>
  <si>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</si>
  <si>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</si>
  <si>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</si>
  <si>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</si>
  <si>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</si>
  <si>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</si>
  <si>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</si>
  <si>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</si>
  <si>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</si>
  <si>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</si>
  <si>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</si>
  <si>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</si>
  <si>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</si>
  <si>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</si>
  <si>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</si>
  <si>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</si>
  <si>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</si>
  <si>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</si>
  <si>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</si>
  <si>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</si>
  <si>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</si>
  <si>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</si>
  <si>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</si>
  <si>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</si>
  <si>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</si>
  <si>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</si>
  <si>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</si>
  <si>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</si>
  <si>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</si>
  <si>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</si>
  <si>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</si>
  <si>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</si>
  <si>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</si>
  <si>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</si>
  <si>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</si>
  <si>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</si>
  <si>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</si>
  <si>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</si>
  <si>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</si>
  <si>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</si>
  <si>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</si>
  <si>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</si>
  <si>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</si>
  <si>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</si>
  <si>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</si>
  <si>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</si>
  <si>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</si>
  <si>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</si>
  <si>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</si>
  <si>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</si>
  <si>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</si>
  <si>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</si>
  <si>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</si>
  <si>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</si>
  <si>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</si>
  <si>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</si>
  <si>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</si>
  <si>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</si>
  <si>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</si>
  <si>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</si>
  <si>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</si>
  <si>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</si>
  <si>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</si>
  <si>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</si>
  <si>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</si>
  <si>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</si>
  <si>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</si>
  <si>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</si>
  <si>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</si>
  <si>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</si>
  <si>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</si>
  <si>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</si>
  <si>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</si>
  <si>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</si>
  <si>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</si>
  <si>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</si>
  <si>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</si>
  <si>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</si>
  <si>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</si>
  <si>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</si>
  <si>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</si>
  <si>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</si>
  <si>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</si>
  <si>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</si>
  <si>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</si>
  <si>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</si>
  <si>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</si>
  <si>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</si>
  <si>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</si>
  <si>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</si>
  <si>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</si>
  <si>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</si>
  <si>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</si>
  <si>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</si>
  <si>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</si>
  <si>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</si>
  <si>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</si>
  <si>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</si>
  <si>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</si>
  <si>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</si>
  <si>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</si>
  <si>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</si>
  <si>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</si>
  <si>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</si>
  <si>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</si>
  <si>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</si>
  <si>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</si>
  <si>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</si>
  <si>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</si>
  <si>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</si>
  <si>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</si>
  <si>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</si>
  <si>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</si>
  <si>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</si>
  <si>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</si>
  <si>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</si>
  <si>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</si>
  <si>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</si>
  <si>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</si>
  <si>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</si>
  <si>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</si>
  <si>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</si>
  <si>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</si>
  <si>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</si>
  <si>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</si>
  <si>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</si>
  <si>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</si>
  <si>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</si>
  <si>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</si>
  <si>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</si>
  <si>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</si>
  <si>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</si>
  <si>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</si>
  <si>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</si>
  <si>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</si>
  <si>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</si>
  <si>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</si>
  <si>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</si>
  <si>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</si>
  <si>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</si>
  <si>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</si>
  <si>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</si>
  <si>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</si>
  <si>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</si>
  <si>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</si>
  <si>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</si>
  <si>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</si>
  <si>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</si>
  <si>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</si>
  <si>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</si>
  <si>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</si>
  <si>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</si>
  <si>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</si>
  <si>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</si>
  <si>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</si>
  <si>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</si>
  <si>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</si>
  <si>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</si>
  <si>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</si>
  <si>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</si>
  <si>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</si>
  <si>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</si>
  <si>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</si>
  <si>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</si>
  <si>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</si>
  <si>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</si>
  <si>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</si>
  <si>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</si>
  <si>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</si>
  <si>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</si>
  <si>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</si>
  <si>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</si>
  <si>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</si>
  <si>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</si>
  <si>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</si>
  <si>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</si>
  <si>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</si>
  <si>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</si>
  <si>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</si>
  <si>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</si>
  <si>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</si>
  <si>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</si>
  <si>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</si>
  <si>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</si>
  <si>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</si>
  <si>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</si>
  <si>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</si>
  <si>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</si>
  <si>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</si>
  <si>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</si>
  <si>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</si>
  <si>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</si>
  <si>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</si>
  <si>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</si>
  <si>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</si>
  <si>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</si>
  <si>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</si>
  <si>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</si>
  <si>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</si>
  <si>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</si>
  <si>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</si>
  <si>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</si>
  <si>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</si>
  <si>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</si>
  <si>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</si>
  <si>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</si>
  <si>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</si>
  <si>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</si>
  <si>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</si>
  <si>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</si>
  <si>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</si>
  <si>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</si>
  <si>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</si>
  <si>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</si>
  <si>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</si>
  <si>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</si>
  <si>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</si>
  <si>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</si>
  <si>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</si>
  <si>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</si>
  <si>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</si>
  <si>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</si>
  <si>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</si>
  <si>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</si>
  <si>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</si>
  <si>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</si>
  <si>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</si>
  <si>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</si>
  <si>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</si>
  <si>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</si>
  <si>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</si>
  <si>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</si>
  <si>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</si>
  <si>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</si>
  <si>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</si>
  <si>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</si>
  <si>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</si>
  <si>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</si>
  <si>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</si>
  <si>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</si>
  <si>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</si>
  <si>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</si>
  <si>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</si>
  <si>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</si>
  <si>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</si>
  <si>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</si>
  <si>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</si>
  <si>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</si>
  <si>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</si>
  <si>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</si>
  <si>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</si>
  <si>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</si>
  <si>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</si>
  <si>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</si>
  <si>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</si>
  <si>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</si>
  <si>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</si>
  <si>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</si>
  <si>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</si>
  <si>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</si>
  <si>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</si>
  <si>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</si>
  <si>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</si>
  <si>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</si>
  <si>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</si>
  <si>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</si>
  <si>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</si>
  <si>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</si>
  <si>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</si>
  <si>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</si>
  <si>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</si>
  <si>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</si>
  <si>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</si>
  <si>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</si>
  <si>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</si>
  <si>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</si>
  <si>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</si>
  <si>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</si>
  <si>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</si>
  <si>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</si>
  <si>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</si>
  <si>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</si>
  <si>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</si>
  <si>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</si>
  <si>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</si>
  <si>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</si>
  <si>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</si>
  <si>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</si>
  <si>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</si>
  <si>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</si>
  <si>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</si>
  <si>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</si>
  <si>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</si>
  <si>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</si>
  <si>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</si>
  <si>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</si>
  <si>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</si>
  <si>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</si>
  <si>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</si>
  <si>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</si>
  <si>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</si>
  <si>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</si>
  <si>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</si>
  <si>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</si>
  <si>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</si>
  <si>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</si>
  <si>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</si>
  <si>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</si>
  <si>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</si>
  <si>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</si>
  <si>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</si>
  <si>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</si>
  <si>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</si>
  <si>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</si>
  <si>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</si>
  <si>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</si>
  <si>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</si>
  <si>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</si>
  <si>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</si>
  <si>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</si>
  <si>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</si>
  <si>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</si>
  <si>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</si>
  <si>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</si>
  <si>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</si>
  <si>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</si>
  <si>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</si>
  <si>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</si>
  <si>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</si>
  <si>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</si>
  <si>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</si>
  <si>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</si>
  <si>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</si>
  <si>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</si>
  <si>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</si>
  <si>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</si>
  <si>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</si>
  <si>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</si>
  <si>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</si>
  <si>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</si>
  <si>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</si>
  <si>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</si>
  <si>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</si>
  <si>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</si>
  <si>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</si>
  <si>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</si>
  <si>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</si>
  <si>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</si>
  <si>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</si>
  <si>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</si>
  <si>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</si>
  <si>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</si>
  <si>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</si>
  <si>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</si>
  <si>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</si>
  <si>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</si>
  <si>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</si>
  <si>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</si>
  <si>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</si>
  <si>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</si>
  <si>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</si>
  <si>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</si>
  <si>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</si>
  <si>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</si>
  <si>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</si>
  <si>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</si>
  <si>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</si>
  <si>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</si>
  <si>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</si>
  <si>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</si>
  <si>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</si>
  <si>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</si>
  <si>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</si>
  <si>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</si>
  <si>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</si>
  <si>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</si>
  <si>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</si>
  <si>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</si>
  <si>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</si>
  <si>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</si>
  <si>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</si>
  <si>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</si>
  <si>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</si>
  <si>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</si>
  <si>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</si>
  <si>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</si>
  <si>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</si>
  <si>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</si>
  <si>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</si>
  <si>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</si>
  <si>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</si>
  <si>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</si>
  <si>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</si>
  <si>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</si>
  <si>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</si>
  <si>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</si>
  <si>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</si>
  <si>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</si>
  <si>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</si>
  <si>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</si>
  <si>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</si>
  <si>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</si>
  <si>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</si>
  <si>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</si>
  <si>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</si>
  <si>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</si>
  <si>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</si>
  <si>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</si>
  <si>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</si>
  <si>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</si>
  <si>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</si>
  <si>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</si>
  <si>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</si>
  <si>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</si>
  <si>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</si>
  <si>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</si>
  <si>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</si>
  <si>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</si>
  <si>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</si>
  <si>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</si>
  <si>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</si>
  <si>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</si>
  <si>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</si>
  <si>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</si>
  <si>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</si>
  <si>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</si>
  <si>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</si>
  <si>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</si>
  <si>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</si>
  <si>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</si>
  <si>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</si>
  <si>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</si>
  <si>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</si>
  <si>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</si>
  <si>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</si>
  <si>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</si>
  <si>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</si>
  <si>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</si>
  <si>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</si>
  <si>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</si>
  <si>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</si>
  <si>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</si>
  <si>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</si>
  <si>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</si>
  <si>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</si>
  <si>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</si>
  <si>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</si>
  <si>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</si>
  <si>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</si>
  <si>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</si>
  <si>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</si>
  <si>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</si>
  <si>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</si>
  <si>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</si>
  <si>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</si>
  <si>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</si>
  <si>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</si>
  <si>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</si>
  <si>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</si>
  <si>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</si>
  <si>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</si>
  <si>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</si>
  <si>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</si>
  <si>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</si>
  <si>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</si>
  <si>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</si>
  <si>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</si>
  <si>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</si>
  <si>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</si>
  <si>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</si>
  <si>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</si>
  <si>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</si>
  <si>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</si>
  <si>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</si>
  <si>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</si>
  <si>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</si>
  <si>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</si>
  <si>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</si>
  <si>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</si>
  <si>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</si>
  <si>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</si>
  <si>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</si>
  <si>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</si>
  <si>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</si>
  <si>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</si>
  <si>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</si>
  <si>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</si>
  <si>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</si>
  <si>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</si>
  <si>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</si>
  <si>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</si>
  <si>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</si>
  <si>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</si>
  <si>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</si>
  <si>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</si>
  <si>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</si>
  <si>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</si>
  <si>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</si>
  <si>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</si>
  <si>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</si>
  <si>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</si>
  <si>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</si>
  <si>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</si>
  <si>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</si>
  <si>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</si>
  <si>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</si>
  <si>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</si>
  <si>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</si>
  <si>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</si>
  <si>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</si>
  <si>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</si>
  <si>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</si>
  <si>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</si>
  <si>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</si>
  <si>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</si>
  <si>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</si>
  <si>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</si>
  <si>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</si>
  <si>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</si>
  <si>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</si>
  <si>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</si>
  <si>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</si>
  <si>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</si>
  <si>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</si>
  <si>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</si>
  <si>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</si>
  <si>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</si>
  <si>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</si>
  <si>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</si>
  <si>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</si>
  <si>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</si>
  <si>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</si>
  <si>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</si>
  <si>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</si>
  <si>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</si>
  <si>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</si>
  <si>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</si>
  <si>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</si>
  <si>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</si>
  <si>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</si>
  <si>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</si>
  <si>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</si>
  <si>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</si>
  <si>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</si>
  <si>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</si>
  <si>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</si>
  <si>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</si>
  <si>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</si>
  <si>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</si>
  <si>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</si>
  <si>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</si>
  <si>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</si>
  <si>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</si>
  <si>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</si>
  <si>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</si>
  <si>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</si>
  <si>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</si>
  <si>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</si>
  <si>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</si>
  <si>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</si>
  <si>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</si>
  <si>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</si>
  <si>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</si>
  <si>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</si>
  <si>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</si>
  <si>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</si>
  <si>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</si>
  <si>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</si>
  <si>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</si>
  <si>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</si>
  <si>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</si>
  <si>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</si>
  <si>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</si>
  <si>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</si>
  <si>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</si>
  <si>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</si>
  <si>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</si>
  <si>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</si>
  <si>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</si>
  <si>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</si>
  <si>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</si>
  <si>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</si>
  <si>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</si>
  <si>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</si>
  <si>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</si>
  <si>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</si>
  <si>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</si>
  <si>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</si>
  <si>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</si>
  <si>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</si>
  <si>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</si>
  <si>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</si>
  <si>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</si>
  <si>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</si>
  <si>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</si>
  <si>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</si>
  <si>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</si>
  <si>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</si>
  <si>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</si>
  <si>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</si>
  <si>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</si>
  <si>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</si>
  <si>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</si>
  <si>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</si>
  <si>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</si>
  <si>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</si>
  <si>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</si>
  <si>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</si>
  <si>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</si>
  <si>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</si>
  <si>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</si>
  <si>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</si>
  <si>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</si>
  <si>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</si>
  <si>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</si>
  <si>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</si>
  <si>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</si>
  <si>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</si>
  <si>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</si>
  <si>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</si>
  <si>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</si>
  <si>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</si>
  <si>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</si>
  <si>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</si>
  <si>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</si>
  <si>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</si>
  <si>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</si>
  <si>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</si>
  <si>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</si>
  <si>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</si>
  <si>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</si>
  <si>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</si>
  <si>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</si>
  <si>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</si>
  <si>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</si>
  <si>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</si>
  <si>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</si>
  <si>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</si>
  <si>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</si>
  <si>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</si>
  <si>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</si>
  <si>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</si>
  <si>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</si>
  <si>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</si>
  <si>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</si>
  <si>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</si>
  <si>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</si>
  <si>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</si>
  <si>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</si>
  <si>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</si>
  <si>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</si>
  <si>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</si>
  <si>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</si>
  <si>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</si>
  <si>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</si>
  <si>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</si>
  <si>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</si>
  <si>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</si>
  <si>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</si>
  <si>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</si>
  <si>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</si>
  <si>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</si>
  <si>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</si>
  <si>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</si>
  <si>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</si>
  <si>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</si>
  <si>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</si>
  <si>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</si>
  <si>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</si>
  <si>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</si>
  <si>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</si>
  <si>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</si>
  <si>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</si>
  <si>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</si>
  <si>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</si>
  <si>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</si>
  <si>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</si>
  <si>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</si>
  <si>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</si>
  <si>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</si>
  <si>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</si>
  <si>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</si>
  <si>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</si>
  <si>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</si>
  <si>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</si>
  <si>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</si>
  <si>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</si>
  <si>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</si>
  <si>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</si>
  <si>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</si>
  <si>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</si>
  <si>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</si>
  <si>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</si>
  <si>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</si>
  <si>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</si>
  <si>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</si>
  <si>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</si>
  <si>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</si>
  <si>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</si>
  <si>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</si>
  <si>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</si>
  <si>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</si>
  <si>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</si>
  <si>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</si>
  <si>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</si>
  <si>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</si>
  <si>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</si>
  <si>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</si>
  <si>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</si>
  <si>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</si>
  <si>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</si>
  <si>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</si>
  <si>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</si>
  <si>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</si>
  <si>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</si>
  <si>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</si>
  <si>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</si>
  <si>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</si>
  <si>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</si>
  <si>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</si>
  <si>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</si>
  <si>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</si>
  <si>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</si>
  <si>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</si>
  <si>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</si>
  <si>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</si>
  <si>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</si>
  <si>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</si>
  <si>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</si>
  <si>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</si>
  <si>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</si>
  <si>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</si>
  <si>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</si>
  <si>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</si>
  <si>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</si>
  <si>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</si>
  <si>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</si>
  <si>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</si>
  <si>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</si>
  <si>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</si>
  <si>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</si>
  <si>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</si>
  <si>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</si>
  <si>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</si>
  <si>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</si>
  <si>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</si>
  <si>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</si>
  <si>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</si>
  <si>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</si>
  <si>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</si>
  <si>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</si>
  <si>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</si>
  <si>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</si>
  <si>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</si>
  <si>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</si>
  <si>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</si>
  <si>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</si>
  <si>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</si>
  <si>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</si>
  <si>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</si>
  <si>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</si>
  <si>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</si>
  <si>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</si>
  <si>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</si>
  <si>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</si>
  <si>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</si>
  <si>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</si>
  <si>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</si>
  <si>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</si>
  <si>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</si>
  <si>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</si>
  <si>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</si>
  <si>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</si>
  <si>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</si>
  <si>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</si>
  <si>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</si>
  <si>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</si>
  <si>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</si>
  <si>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</si>
  <si>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</si>
  <si>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</si>
  <si>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</si>
  <si>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</si>
  <si>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</si>
  <si>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</si>
  <si>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</si>
  <si>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</si>
  <si>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</si>
  <si>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</si>
  <si>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</si>
  <si>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</si>
  <si>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</si>
  <si>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</si>
  <si>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</si>
  <si>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</si>
  <si>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</si>
  <si>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</si>
  <si>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</si>
  <si>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</si>
  <si>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</si>
  <si>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</si>
  <si>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</si>
  <si>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</si>
  <si>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</si>
  <si>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</si>
  <si>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</si>
  <si>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</si>
  <si>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</si>
  <si>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</si>
  <si>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</si>
  <si>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</si>
  <si>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</si>
  <si>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</si>
  <si>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</si>
  <si>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</si>
  <si>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</si>
  <si>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</si>
  <si>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</si>
  <si>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</si>
  <si>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</si>
  <si>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</si>
  <si>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</si>
  <si>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</si>
  <si>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</si>
  <si>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</si>
  <si>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</si>
  <si>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</si>
  <si>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</si>
  <si>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</si>
  <si>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</si>
  <si>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</si>
  <si>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</si>
  <si>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</si>
  <si>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</si>
  <si>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</si>
  <si>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</si>
  <si>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</si>
  <si>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</si>
  <si>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</si>
  <si>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</si>
  <si>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</si>
  <si>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</si>
  <si>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</si>
  <si>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</si>
  <si>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</si>
  <si>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</si>
  <si>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</si>
  <si>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</si>
  <si>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</si>
  <si>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</si>
  <si>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</si>
  <si>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</si>
  <si>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</si>
  <si>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</si>
  <si>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</si>
  <si>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</si>
  <si>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</si>
  <si>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</si>
  <si>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</si>
  <si>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</si>
  <si>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</si>
  <si>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</si>
  <si>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</si>
  <si>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</si>
  <si>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</si>
  <si>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</si>
  <si>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</si>
  <si>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</si>
  <si>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</si>
  <si>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</si>
  <si>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</si>
  <si>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</si>
  <si>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</si>
  <si>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</si>
  <si>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</si>
  <si>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</si>
  <si>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</si>
  <si>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</si>
  <si>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</si>
  <si>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</si>
  <si>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</si>
  <si>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</si>
  <si>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</si>
  <si>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</si>
  <si>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</si>
  <si>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</si>
  <si>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</si>
  <si>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</si>
  <si>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</si>
  <si>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</si>
  <si>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</si>
  <si>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</si>
  <si>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</si>
  <si>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</si>
  <si>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</si>
  <si>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</si>
  <si>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</si>
  <si>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</si>
  <si>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</si>
  <si>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</si>
  <si>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</si>
  <si>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</si>
  <si>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</si>
  <si>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</si>
  <si>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</si>
  <si>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</si>
  <si>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</si>
  <si>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</si>
  <si>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</si>
  <si>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</si>
  <si>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</si>
  <si>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</si>
  <si>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</si>
  <si>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</si>
  <si>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</si>
  <si>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</si>
  <si>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</si>
  <si>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</si>
  <si>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</si>
  <si>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</si>
  <si>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</si>
  <si>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</si>
  <si>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</si>
  <si>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</si>
  <si>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</si>
  <si>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</si>
  <si>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</si>
  <si>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</si>
  <si>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</si>
  <si>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</si>
  <si>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</si>
  <si>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</si>
  <si>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</si>
  <si>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</si>
  <si>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</si>
  <si>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</si>
  <si>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</si>
  <si>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</si>
  <si>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</si>
  <si>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</si>
  <si>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</si>
  <si>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</si>
  <si>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</si>
  <si>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</si>
  <si>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</si>
  <si>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</si>
  <si>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</si>
  <si>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</si>
  <si>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</si>
  <si>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</si>
  <si>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</si>
  <si>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</si>
  <si>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</si>
  <si>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</si>
  <si>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</si>
  <si>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</si>
  <si>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</si>
  <si>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</si>
  <si>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</si>
  <si>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</si>
  <si>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</si>
  <si>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</si>
  <si>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</si>
  <si>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</si>
  <si>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</si>
  <si>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</si>
  <si>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</si>
  <si>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</si>
  <si>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</si>
  <si>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</si>
  <si>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</si>
  <si>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</si>
  <si>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</si>
  <si>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</si>
  <si>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</si>
  <si>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</si>
  <si>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</si>
  <si>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</si>
  <si>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</si>
  <si>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</si>
  <si>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</si>
  <si>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</si>
  <si>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</si>
  <si>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</si>
  <si>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</si>
  <si>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</si>
  <si>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</si>
  <si>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</si>
  <si>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</si>
  <si>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</si>
  <si>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</si>
  <si>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</si>
  <si>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</si>
  <si>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</si>
  <si>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</si>
  <si>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</si>
  <si>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</si>
  <si>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</si>
  <si>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</si>
  <si>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</si>
  <si>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</si>
  <si>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</si>
  <si>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</si>
  <si>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</si>
  <si>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</si>
  <si>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</si>
  <si>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</si>
  <si>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</si>
  <si>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</si>
  <si>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</si>
  <si>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</si>
  <si>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</si>
  <si>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</si>
  <si>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</si>
  <si>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</si>
  <si>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</si>
  <si>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</si>
  <si>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</si>
  <si>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</si>
  <si>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</si>
  <si>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</si>
  <si>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</si>
  <si>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</si>
  <si>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</si>
  <si>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</si>
  <si>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</si>
  <si>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</si>
  <si>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</si>
  <si>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</si>
  <si>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</si>
  <si>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</si>
  <si>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</si>
  <si>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</si>
  <si>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</si>
  <si>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</si>
  <si>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</si>
  <si>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</si>
  <si>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</si>
  <si>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</si>
  <si>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</si>
  <si>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</si>
  <si>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</si>
  <si>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</si>
  <si>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</si>
  <si>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</si>
  <si>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</si>
  <si>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</si>
  <si>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</si>
  <si>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</si>
  <si>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</si>
  <si>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</si>
  <si>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</si>
  <si>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</si>
  <si>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</si>
  <si>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</si>
  <si>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</si>
  <si>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</si>
  <si>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</si>
  <si>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</si>
  <si>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</si>
  <si>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</si>
  <si>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</si>
  <si>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</si>
  <si>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</si>
  <si>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</si>
  <si>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</si>
  <si>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</si>
  <si>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</si>
  <si>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</si>
  <si>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</si>
  <si>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</si>
  <si>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</si>
  <si>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</si>
  <si>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</si>
  <si>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</si>
  <si>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</si>
  <si>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</si>
  <si>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</si>
  <si>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</si>
  <si>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</si>
  <si>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</si>
  <si>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</si>
  <si>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</si>
  <si>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</si>
  <si>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</si>
  <si>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</si>
  <si>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</si>
  <si>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</si>
  <si>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</si>
  <si>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</si>
  <si>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</si>
  <si>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</si>
  <si>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</si>
  <si>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</si>
  <si>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</si>
  <si>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</si>
  <si>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</si>
  <si>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</si>
  <si>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</si>
  <si>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</si>
  <si>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</si>
  <si>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</si>
  <si>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</si>
  <si>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</si>
  <si>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</si>
  <si>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</si>
  <si>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</si>
  <si>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</si>
  <si>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</si>
  <si>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</si>
  <si>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</si>
  <si>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</si>
  <si>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</si>
  <si>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</si>
  <si>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</si>
  <si>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</si>
  <si>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</si>
  <si>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</si>
  <si>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</si>
  <si>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</si>
  <si>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</si>
  <si>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</si>
  <si>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</si>
  <si>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</si>
  <si>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</si>
  <si>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</si>
  <si>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</si>
  <si>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</si>
  <si>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</si>
  <si>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</si>
  <si>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</si>
  <si>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</si>
  <si>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</si>
  <si>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</si>
  <si>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</si>
  <si>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</si>
  <si>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</si>
  <si>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</si>
  <si>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</si>
  <si>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</si>
  <si>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</si>
  <si>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</si>
  <si>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</si>
  <si>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</si>
  <si>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</si>
  <si>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</si>
  <si>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</si>
  <si>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</si>
  <si>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</si>
  <si>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</si>
  <si>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</si>
  <si>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</si>
  <si>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</si>
  <si>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</si>
  <si>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</si>
  <si>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</si>
  <si>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</si>
  <si>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</si>
  <si>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</si>
  <si>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</si>
  <si>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</si>
  <si>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</si>
  <si>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</si>
  <si>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</si>
  <si>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</si>
  <si>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</si>
  <si>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</si>
  <si>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</si>
  <si>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</si>
  <si>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</si>
  <si>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</si>
  <si>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</si>
  <si>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</si>
  <si>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</si>
  <si>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</si>
  <si>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</si>
  <si>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</si>
  <si>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</si>
  <si>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</si>
  <si>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</si>
  <si>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</si>
  <si>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</si>
  <si>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</si>
  <si>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</si>
  <si>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</si>
  <si>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</si>
  <si>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</si>
  <si>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</si>
  <si>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</si>
  <si>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</si>
  <si>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</si>
  <si>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</si>
  <si>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</si>
  <si>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</si>
  <si>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</si>
  <si>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</si>
  <si>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</si>
  <si>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</si>
  <si>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</si>
  <si>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</si>
  <si>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</si>
  <si>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</si>
  <si>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</si>
  <si>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</si>
  <si>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</si>
  <si>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</si>
  <si>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</si>
  <si>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</si>
  <si>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</si>
  <si>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</si>
  <si>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</si>
  <si>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</si>
  <si>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</si>
  <si>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</si>
  <si>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</si>
  <si>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</si>
  <si>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</si>
  <si>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</si>
  <si>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</si>
  <si>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</si>
  <si>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</si>
  <si>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</si>
  <si>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</si>
  <si>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</si>
  <si>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</si>
  <si>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</si>
  <si>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</si>
  <si>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</si>
  <si>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</si>
  <si>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</si>
  <si>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</si>
  <si>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</si>
  <si>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</si>
  <si>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</si>
  <si>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</si>
  <si>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</si>
  <si>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</si>
  <si>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</si>
  <si>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</si>
  <si>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</si>
  <si>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</si>
  <si>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</si>
  <si>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</si>
  <si>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</si>
  <si>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</si>
  <si>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</si>
  <si>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</si>
  <si>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</si>
  <si>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</si>
  <si>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</si>
  <si>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</si>
  <si>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</si>
  <si>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</si>
  <si>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</si>
  <si>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</si>
  <si>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</si>
  <si>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</si>
  <si>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</si>
  <si>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</si>
  <si>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</si>
  <si>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</si>
  <si>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</si>
  <si>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</si>
  <si>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</si>
  <si>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</si>
  <si>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</si>
  <si>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</si>
  <si>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</si>
  <si>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</si>
  <si>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</si>
  <si>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</si>
  <si>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</si>
  <si>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</si>
  <si>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</si>
  <si>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</si>
  <si>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</si>
  <si>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</si>
  <si>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</si>
  <si>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</si>
  <si>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</si>
  <si>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</si>
  <si>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</si>
  <si>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</si>
  <si>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</si>
  <si>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</si>
  <si>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</si>
  <si>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</si>
  <si>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</si>
  <si>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</si>
  <si>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</si>
  <si>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</si>
  <si>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</si>
  <si>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</si>
  <si>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</si>
  <si>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</si>
  <si>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</si>
  <si>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</si>
  <si>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</si>
  <si>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</si>
  <si>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</si>
  <si>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</si>
  <si>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</si>
  <si>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</si>
  <si>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</si>
  <si>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</si>
  <si>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</si>
  <si>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</si>
  <si>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</si>
  <si>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</si>
  <si>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</si>
  <si>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</si>
  <si>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</si>
  <si>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</si>
  <si>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</si>
  <si>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</si>
  <si>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</si>
  <si>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</si>
  <si>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</si>
  <si>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</si>
  <si>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</si>
  <si>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</si>
  <si>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</si>
  <si>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</si>
  <si>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</si>
  <si>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</si>
  <si>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</si>
  <si>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</si>
  <si>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</si>
  <si>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</si>
  <si>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</si>
  <si>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</si>
  <si>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</si>
  <si>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</si>
  <si>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</si>
  <si>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</si>
  <si>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</si>
  <si>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</si>
  <si>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</si>
  <si>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</si>
  <si>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</si>
  <si>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</si>
  <si>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</si>
  <si>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</si>
  <si>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</si>
  <si>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</si>
  <si>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</si>
  <si>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</si>
  <si>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</si>
  <si>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</si>
  <si>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</si>
  <si>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</si>
  <si>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</si>
  <si>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</si>
  <si>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</si>
  <si>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</si>
  <si>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</si>
  <si>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</si>
  <si>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</si>
  <si>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</si>
  <si>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</si>
  <si>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</si>
  <si>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</si>
  <si>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</si>
  <si>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</si>
  <si>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</si>
  <si>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</si>
  <si>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</si>
  <si>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</si>
  <si>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</si>
  <si>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</si>
  <si>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</si>
  <si>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</si>
  <si>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</si>
  <si>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</si>
  <si>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</si>
  <si>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</si>
  <si>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</si>
  <si>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</si>
  <si>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</si>
  <si>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</si>
  <si>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</si>
  <si>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</si>
  <si>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</si>
  <si>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</si>
  <si>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</si>
  <si>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</si>
  <si>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</si>
  <si>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</si>
  <si>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</si>
  <si>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</si>
  <si>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</si>
  <si>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</si>
  <si>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</si>
  <si>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</si>
  <si>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</si>
  <si>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</si>
  <si>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</si>
  <si>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</si>
  <si>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</si>
  <si>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</si>
  <si>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</si>
  <si>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</si>
  <si>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</si>
  <si>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</si>
  <si>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</si>
  <si>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</si>
  <si>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</si>
  <si>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</si>
  <si>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</si>
  <si>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</si>
  <si>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</si>
  <si>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</si>
  <si>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</si>
  <si>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</si>
  <si>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</si>
  <si>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</si>
  <si>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</si>
  <si>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</si>
  <si>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</si>
  <si>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</si>
  <si>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</si>
  <si>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</si>
  <si>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</si>
  <si>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</si>
  <si>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</si>
  <si>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</si>
  <si>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</si>
  <si>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</si>
  <si>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</si>
  <si>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</si>
  <si>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</si>
  <si>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</si>
  <si>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</si>
  <si>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</si>
  <si>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</si>
  <si>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</si>
  <si>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</si>
  <si>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</si>
  <si>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</si>
  <si>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</si>
  <si>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</si>
  <si>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</si>
  <si>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</si>
  <si>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</si>
  <si>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</si>
  <si>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</si>
  <si>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</si>
  <si>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</si>
  <si>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</si>
  <si>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</si>
  <si>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</si>
  <si>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</si>
  <si>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</si>
  <si>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</si>
  <si>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</si>
  <si>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</si>
  <si>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</si>
  <si>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</si>
  <si>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</si>
  <si>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</si>
  <si>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</si>
  <si>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</si>
  <si>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</si>
  <si>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</si>
  <si>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</si>
  <si>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</si>
  <si>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</si>
  <si>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</si>
  <si>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</si>
  <si>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</si>
  <si>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</si>
  <si>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</si>
  <si>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</si>
  <si>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</si>
  <si>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</si>
  <si>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</si>
  <si>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</si>
  <si>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</si>
  <si>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</si>
  <si>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</si>
  <si>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</si>
  <si>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</si>
  <si>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</si>
  <si>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</si>
  <si>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</si>
  <si>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</si>
  <si>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</si>
  <si>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</si>
  <si>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</si>
  <si>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</si>
  <si>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</si>
  <si>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</si>
  <si>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</si>
  <si>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</si>
  <si>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</si>
  <si>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</si>
  <si>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</si>
  <si>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</si>
  <si>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</si>
  <si>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</si>
  <si>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</si>
  <si>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</si>
  <si>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</si>
  <si>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</si>
  <si>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</si>
  <si>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</si>
  <si>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</si>
  <si>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</si>
  <si>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</si>
  <si>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</si>
  <si>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</si>
  <si>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</si>
  <si>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</si>
  <si>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</si>
  <si>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</si>
  <si>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</si>
  <si>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</si>
  <si>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</si>
  <si>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</si>
  <si>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</si>
  <si>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</si>
  <si>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</si>
  <si>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</si>
  <si>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</si>
  <si>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</si>
  <si>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</si>
  <si>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</si>
  <si>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</si>
  <si>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</si>
  <si>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</si>
  <si>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</si>
  <si>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</si>
  <si>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</si>
  <si>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</si>
  <si>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</si>
  <si>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</si>
  <si>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</si>
  <si>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</si>
  <si>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</si>
  <si>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</si>
  <si>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</si>
  <si>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</si>
  <si>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</si>
  <si>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</si>
  <si>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</si>
  <si>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</si>
  <si>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</si>
  <si>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</si>
  <si>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</si>
  <si>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</si>
  <si>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</si>
  <si>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</si>
  <si>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</si>
  <si>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</si>
  <si>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</si>
  <si>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</si>
  <si>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</si>
  <si>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</si>
  <si>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</si>
  <si>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</si>
  <si>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</si>
  <si>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</si>
  <si>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</si>
  <si>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</si>
  <si>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</si>
  <si>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</si>
  <si>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</si>
  <si>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</si>
  <si>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</si>
  <si>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</si>
  <si>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</si>
  <si>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</si>
  <si>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</si>
  <si>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</si>
  <si>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</si>
  <si>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</si>
  <si>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</si>
  <si>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</si>
  <si>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</si>
  <si>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</si>
  <si>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</si>
  <si>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</si>
  <si>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</si>
  <si>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</si>
  <si>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</si>
  <si>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</si>
  <si>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</si>
  <si>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</si>
  <si>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</si>
  <si>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</si>
  <si>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</si>
  <si>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</si>
  <si>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</si>
  <si>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</si>
  <si>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</si>
  <si>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</si>
  <si>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</si>
  <si>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</si>
  <si>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</si>
  <si>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</si>
  <si>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</si>
  <si>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</si>
  <si>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</si>
  <si>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</si>
  <si>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</si>
  <si>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</si>
  <si>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</si>
  <si>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</si>
  <si>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</si>
  <si>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</si>
  <si>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</si>
  <si>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</si>
  <si>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</si>
  <si>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</si>
  <si>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</si>
  <si>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</si>
  <si>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</si>
  <si>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</si>
  <si>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</si>
  <si>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</si>
  <si>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</si>
  <si>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</si>
  <si>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</si>
  <si>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</si>
  <si>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</si>
  <si>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</si>
  <si>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</si>
  <si>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</si>
  <si>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</si>
  <si>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</si>
  <si>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</si>
  <si>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</si>
  <si>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</si>
  <si>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</si>
  <si>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</si>
  <si>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</si>
  <si>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</si>
  <si>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</si>
  <si>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</si>
  <si>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</si>
  <si>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</si>
  <si>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</si>
  <si>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</si>
  <si>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</si>
  <si>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</si>
  <si>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</si>
  <si>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</si>
  <si>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</si>
  <si>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</si>
  <si>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</si>
  <si>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</si>
  <si>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</si>
  <si>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</si>
  <si>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</si>
  <si>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</si>
  <si>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</si>
  <si>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</si>
  <si>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</si>
  <si>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</si>
  <si>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</si>
  <si>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</si>
  <si>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</si>
  <si>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</si>
  <si>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</si>
  <si>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</si>
  <si>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</si>
  <si>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</si>
  <si>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</si>
  <si>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</si>
  <si>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</si>
  <si>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</si>
  <si>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</si>
  <si>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</si>
  <si>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</si>
  <si>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</si>
  <si>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</si>
  <si>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</si>
  <si>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</si>
  <si>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</si>
  <si>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</si>
  <si>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</si>
  <si>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</si>
  <si>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</si>
  <si>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</si>
  <si>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</si>
  <si>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</si>
  <si>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</si>
  <si>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</si>
  <si>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</si>
  <si>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</si>
  <si>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</si>
  <si>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</si>
  <si>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</si>
  <si>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</si>
  <si>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</si>
  <si>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</si>
  <si>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</si>
  <si>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</si>
  <si>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</si>
  <si>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</si>
  <si>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</si>
  <si>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</si>
  <si>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</si>
  <si>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</si>
  <si>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</si>
  <si>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</si>
  <si>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</si>
  <si>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</si>
  <si>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</si>
  <si>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</si>
  <si>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</si>
  <si>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</si>
  <si>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</si>
  <si>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</si>
  <si>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</si>
  <si>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</si>
  <si>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</si>
  <si>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</si>
  <si>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</si>
  <si>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</si>
  <si>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</si>
  <si>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</si>
  <si>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</si>
  <si>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</si>
  <si>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</si>
  <si>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</si>
  <si>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</si>
  <si>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</si>
  <si>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</si>
  <si>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</si>
  <si>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</si>
  <si>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</si>
  <si>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</si>
  <si>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</si>
  <si>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</si>
  <si>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</si>
  <si>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</si>
  <si>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</si>
  <si>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</si>
  <si>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</si>
  <si>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</si>
  <si>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</si>
  <si>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</si>
  <si>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</si>
  <si>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</si>
  <si>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</si>
  <si>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</si>
  <si>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</si>
  <si>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</si>
  <si>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</si>
  <si>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</si>
  <si>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</si>
  <si>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</si>
  <si>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</si>
  <si>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</si>
  <si>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</si>
  <si>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</si>
  <si>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</si>
  <si>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</si>
  <si>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</si>
  <si>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</si>
  <si>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</si>
  <si>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</si>
  <si>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</si>
  <si>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</si>
  <si>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</si>
  <si>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</si>
  <si>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</si>
  <si>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</si>
  <si>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</si>
  <si>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</si>
  <si>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</si>
  <si>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</si>
  <si>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</si>
  <si>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</si>
  <si>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</si>
  <si>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</si>
  <si>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</si>
  <si>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</si>
  <si>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</si>
  <si>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</si>
  <si>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</si>
  <si>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</si>
  <si>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</si>
  <si>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</si>
  <si>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</si>
  <si>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</si>
  <si>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</si>
  <si>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</si>
  <si>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</si>
  <si>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</si>
  <si>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</si>
  <si>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</si>
  <si>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</si>
  <si>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</si>
  <si>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</si>
  <si>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</si>
  <si>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</si>
  <si>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</si>
  <si>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</si>
  <si>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</si>
  <si>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</si>
  <si>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</si>
  <si>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</si>
  <si>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</si>
  <si>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</si>
  <si>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</si>
  <si>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</si>
  <si>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</si>
  <si>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</si>
  <si>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</si>
  <si>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</si>
  <si>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</si>
  <si>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</si>
  <si>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</si>
  <si>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</si>
  <si>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</si>
  <si>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</si>
  <si>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</si>
  <si>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</si>
  <si>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</si>
  <si>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</si>
  <si>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</si>
  <si>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</si>
  <si>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</si>
  <si>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</si>
  <si>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</si>
  <si>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</si>
  <si>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</si>
  <si>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</si>
  <si>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</si>
  <si>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</si>
  <si>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</si>
  <si>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</si>
  <si>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</si>
  <si>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</si>
  <si>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</si>
  <si>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</si>
  <si>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</si>
  <si>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</si>
  <si>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</si>
  <si>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</si>
  <si>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</si>
  <si>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</si>
  <si>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</si>
  <si>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</si>
  <si>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</si>
  <si>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</si>
  <si>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</si>
  <si>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</si>
  <si>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 xml:space="preserve">MUNICIPIO DE VALLE DE SANTIAGO, GTO. </t>
  </si>
  <si>
    <t>Al 31 de diciembre de 2016 y al 31 de diciembre de 2017 (b)</t>
  </si>
  <si>
    <t>Del 1 de enero al 31 de diciembre de 2017 (b)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</si>
  <si>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</si>
  <si>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</si>
  <si>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</si>
  <si>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</si>
  <si>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</si>
  <si>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</si>
  <si>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</si>
  <si>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</si>
  <si>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</si>
  <si>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</si>
  <si>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</si>
  <si>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</si>
  <si>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</si>
  <si>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</si>
  <si>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</si>
  <si>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</si>
  <si>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</si>
  <si>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</si>
  <si>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</si>
  <si>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</si>
  <si>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</si>
  <si>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</si>
  <si>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</si>
  <si>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</si>
  <si>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</si>
  <si>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</si>
  <si>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</si>
  <si>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</si>
  <si>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</si>
  <si>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</si>
  <si>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</si>
  <si>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</si>
  <si>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</si>
  <si>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</si>
  <si>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</si>
  <si>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</si>
  <si>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</si>
  <si>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</si>
  <si>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</si>
  <si>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31111-1101  DES DIR SEG PUB TRAN</t>
  </si>
  <si>
    <t>31111-1102  DIR MPAL PROTE CIVIL</t>
  </si>
  <si>
    <t>31111-1103  TRANSTO Y TRANSPORTE</t>
  </si>
  <si>
    <t>31111-1104  CARCEL MUNICIPAL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</si>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</sst>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;\-#,##0.00;&quot; 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}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</cellStyleXfs>
  <cellXfs count="2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6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3" fontId="17" fillId="0" borderId="13" xfId="1" applyFont="1" applyFill="1" applyBorder="1" applyAlignment="1" applyProtection="1">
      <alignment vertical="top" wrapText="1"/>
      <protection locked="0"/>
    </xf>
    <xf numFmtId="165" fontId="16" fillId="0" borderId="13" xfId="0" applyNumberFormat="1" applyFont="1" applyFill="1" applyBorder="1" applyProtection="1">
      <protection locked="0"/>
    </xf>
    <xf numFmtId="43" fontId="0" fillId="0" borderId="13" xfId="0" applyNumberFormat="1" applyFill="1" applyBorder="1" applyAlignment="1" applyProtection="1">
      <alignment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top" wrapText="1"/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4" fontId="19" fillId="0" borderId="13" xfId="0" applyNumberFormat="1" applyFont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20" fillId="0" borderId="13" xfId="0" applyNumberFormat="1" applyFont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16" fillId="0" borderId="13" xfId="1" applyNumberFormat="1" applyFont="1" applyBorder="1" applyAlignment="1" applyProtection="1">
      <alignment vertical="center"/>
      <protection locked="0"/>
    </xf>
    <xf numFmtId="4" fontId="16" fillId="0" borderId="13" xfId="1" applyNumberFormat="1" applyFon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19" fillId="0" borderId="13" xfId="2" applyNumberFormat="1" applyFont="1" applyBorder="1" applyAlignment="1">
      <alignment vertical="center"/>
    </xf>
    <xf numFmtId="4" fontId="19" fillId="0" borderId="13" xfId="2" applyNumberFormat="1" applyFont="1" applyBorder="1" applyAlignment="1" applyProtection="1">
      <alignment vertical="center"/>
      <protection locked="0"/>
    </xf>
    <xf numFmtId="4" fontId="16" fillId="0" borderId="13" xfId="0" applyNumberFormat="1" applyFont="1" applyFill="1" applyBorder="1" applyAlignment="1" applyProtection="1">
      <alignment vertical="center"/>
      <protection locked="0"/>
    </xf>
    <xf numFmtId="4" fontId="16" fillId="0" borderId="13" xfId="2" applyNumberFormat="1" applyFont="1" applyBorder="1" applyAlignment="1" applyProtection="1">
      <alignment vertical="center"/>
      <protection locked="0"/>
    </xf>
    <xf numFmtId="4" fontId="16" fillId="0" borderId="13" xfId="0" applyNumberFormat="1" applyFont="1" applyBorder="1" applyProtection="1">
      <protection locked="0"/>
    </xf>
    <xf numFmtId="4" fontId="16" fillId="0" borderId="0" xfId="0" applyNumberFormat="1" applyFont="1" applyBorder="1" applyProtection="1">
      <protection locked="0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4" fontId="22" fillId="0" borderId="0" xfId="1" applyNumberFormat="1" applyFont="1" applyBorder="1" applyProtection="1"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2" fillId="0" borderId="8" xfId="1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43" fontId="16" fillId="0" borderId="7" xfId="1" applyFont="1" applyFill="1" applyBorder="1" applyProtection="1">
      <protection locked="0"/>
    </xf>
    <xf numFmtId="4" fontId="16" fillId="0" borderId="13" xfId="0" applyNumberFormat="1" applyFont="1" applyFill="1" applyBorder="1" applyProtection="1">
      <protection locked="0"/>
    </xf>
    <xf numFmtId="4" fontId="16" fillId="0" borderId="0" xfId="1" applyNumberFormat="1" applyFont="1" applyFill="1" applyProtection="1">
      <protection locked="0"/>
    </xf>
    <xf numFmtId="4" fontId="16" fillId="0" borderId="13" xfId="1" applyNumberFormat="1" applyFont="1" applyFill="1" applyBorder="1" applyProtection="1">
      <protection locked="0"/>
    </xf>
    <xf numFmtId="0" fontId="16" fillId="0" borderId="0" xfId="4" applyFont="1"/>
    <xf numFmtId="0" fontId="16" fillId="0" borderId="0" xfId="0" applyFont="1" applyFill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Normal" xfId="0" builtinId="0"/>
    <cellStyle name="Normal 2" xfId="3"/>
    <cellStyle name="Normal 3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81" t="s">
        <v>821</v>
      </c>
      <c r="B1" s="182"/>
      <c r="C1" s="182"/>
      <c r="D1" s="182"/>
      <c r="E1" s="183"/>
    </row>
    <row r="2" spans="1:5" s="7" customFormat="1" x14ac:dyDescent="0.25">
      <c r="A2" s="24"/>
      <c r="E2" s="25"/>
    </row>
    <row r="3" spans="1:5" s="7" customFormat="1" ht="26.25" customHeight="1" x14ac:dyDescent="0.25">
      <c r="A3" s="24"/>
      <c r="B3" s="29" t="s">
        <v>784</v>
      </c>
      <c r="C3" s="184" t="s">
        <v>3294</v>
      </c>
      <c r="D3" s="184"/>
      <c r="E3" s="25"/>
    </row>
    <row r="4" spans="1:5" s="7" customFormat="1" x14ac:dyDescent="0.25">
      <c r="A4" s="24"/>
      <c r="E4" s="25"/>
    </row>
    <row r="5" spans="1:5" s="7" customFormat="1" ht="26.25" customHeight="1" x14ac:dyDescent="0.25">
      <c r="A5" s="24"/>
      <c r="B5" s="29" t="s">
        <v>787</v>
      </c>
      <c r="E5" s="25"/>
    </row>
    <row r="6" spans="1:5" s="7" customFormat="1" x14ac:dyDescent="0.25">
      <c r="A6" s="24"/>
      <c r="E6" s="25"/>
    </row>
    <row r="7" spans="1:5" s="7" customFormat="1" ht="26.25" customHeight="1" x14ac:dyDescent="0.25">
      <c r="A7" s="24"/>
      <c r="B7" s="29" t="s">
        <v>788</v>
      </c>
      <c r="E7" s="25"/>
    </row>
    <row r="8" spans="1:5" s="7" customFormat="1" x14ac:dyDescent="0.25">
      <c r="A8" s="24"/>
      <c r="E8" s="25"/>
    </row>
    <row r="9" spans="1:5" s="7" customFormat="1" ht="26.25" customHeight="1" x14ac:dyDescent="0.25">
      <c r="A9" s="24"/>
      <c r="B9" s="29" t="s">
        <v>786</v>
      </c>
      <c r="E9" s="25"/>
    </row>
    <row r="10" spans="1:5" s="7" customFormat="1" x14ac:dyDescent="0.25">
      <c r="A10" s="24"/>
      <c r="E10" s="25"/>
    </row>
    <row r="11" spans="1:5" s="7" customFormat="1" ht="26.25" customHeight="1" x14ac:dyDescent="0.25">
      <c r="A11" s="24"/>
      <c r="B11" s="29" t="s">
        <v>785</v>
      </c>
      <c r="E11" s="25"/>
    </row>
    <row r="12" spans="1:5" s="7" customFormat="1" ht="15.75" thickBot="1" x14ac:dyDescent="0.3">
      <c r="A12" s="26"/>
      <c r="B12" s="27"/>
      <c r="C12" s="27"/>
      <c r="D12" s="27"/>
      <c r="E12" s="28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821</v>
      </c>
    </row>
    <row r="6" spans="2:3" x14ac:dyDescent="0.25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 x14ac:dyDescent="0.25">
      <c r="C7" t="str">
        <f>CONCATENATE(ENTE_PUBLICO," (a)")</f>
        <v>MUNICIPIO DE VALLE DE SANTIAGO, GTO., Gobierno del Estado de Guanajuato (a)</v>
      </c>
    </row>
    <row r="8" spans="2:3" ht="27" customHeight="1" x14ac:dyDescent="0.25">
      <c r="B8" t="s">
        <v>787</v>
      </c>
      <c r="C8" s="23" t="s">
        <v>799</v>
      </c>
    </row>
    <row r="10" spans="2:3" ht="25.5" customHeight="1" x14ac:dyDescent="0.25">
      <c r="B10" t="s">
        <v>788</v>
      </c>
      <c r="C10" s="23" t="s">
        <v>1161</v>
      </c>
    </row>
    <row r="11" spans="2:3" ht="20.25" customHeight="1" x14ac:dyDescent="0.25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 x14ac:dyDescent="0.25">
      <c r="B12" t="s">
        <v>786</v>
      </c>
      <c r="C12" s="23">
        <v>2017</v>
      </c>
    </row>
    <row r="14" spans="2:3" x14ac:dyDescent="0.25">
      <c r="B14" t="s">
        <v>785</v>
      </c>
      <c r="C14" s="23" t="s">
        <v>3295</v>
      </c>
    </row>
    <row r="15" spans="2:3" x14ac:dyDescent="0.25">
      <c r="C15" s="23">
        <v>4</v>
      </c>
    </row>
    <row r="16" spans="2:3" x14ac:dyDescent="0.25">
      <c r="C16" s="23" t="s">
        <v>3296</v>
      </c>
    </row>
    <row r="18" spans="4:9" ht="135" x14ac:dyDescent="0.2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2017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2017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2017 (m = g – l)</v>
      </c>
    </row>
    <row r="20" spans="4:9" ht="60" x14ac:dyDescent="0.25">
      <c r="D20" s="21" t="str">
        <f>CONCATENATE(ANIO_INFORME, " (d)")</f>
        <v>2017 (d)</v>
      </c>
      <c r="E20" s="22" t="str">
        <f>CONCATENATE("31 de diciembre de ",ANIO_INFORME-1, " (e)")</f>
        <v>31 de diciembre de 2016 (e)</v>
      </c>
      <c r="F20" s="30" t="str">
        <f>CONCATENATE("Saldo al 31 de diciembre de ",ANIO_INFORME-1, " (d)")</f>
        <v>Saldo al 31 de diciembre de 2016 (d)</v>
      </c>
    </row>
    <row r="23" spans="4:9" x14ac:dyDescent="0.25">
      <c r="D23" s="32">
        <f>ANIO_INFORME + 1</f>
        <v>2018</v>
      </c>
      <c r="E23" s="33" t="str">
        <f>CONCATENATE(ANIO_INFORME + 2, " (d)")</f>
        <v>2019 (d)</v>
      </c>
      <c r="F23" s="33" t="str">
        <f>CONCATENATE(ANIO_INFORME + 3, " (d)")</f>
        <v>2020 (d)</v>
      </c>
      <c r="G23" s="33" t="str">
        <f>CONCATENATE(ANIO_INFORME + 4, " (d)")</f>
        <v>2021 (d)</v>
      </c>
      <c r="H23" s="33" t="str">
        <f>CONCATENATE(ANIO_INFORME + 5, " (d)")</f>
        <v>2022 (d)</v>
      </c>
      <c r="I23" s="33" t="str">
        <f>CONCATENATE(ANIO_INFORME + 6, " (d)")</f>
        <v>2023 (d)</v>
      </c>
    </row>
    <row r="25" spans="4:9" x14ac:dyDescent="0.25">
      <c r="D25" s="34" t="str">
        <f>CONCATENATE(ANIO_INFORME - 5, " ",CHAR(185)," (c)")</f>
        <v>2012 ¹ (c)</v>
      </c>
      <c r="E25" s="34" t="str">
        <f>CONCATENATE(ANIO_INFORME - 4, " ",CHAR(185)," (c)")</f>
        <v>2013 ¹ (c)</v>
      </c>
      <c r="F25" s="34" t="str">
        <f>CONCATENATE(ANIO_INFORME - 3, " ",CHAR(185)," (c)")</f>
        <v>2014 ¹ (c)</v>
      </c>
      <c r="G25" s="34" t="str">
        <f>CONCATENATE(ANIO_INFORME - 2, " ",CHAR(185)," (c)")</f>
        <v>2015 ¹ (c)</v>
      </c>
      <c r="H25" s="34" t="str">
        <f>CONCATENATE(ANIO_INFORME - 1, " ",CHAR(185)," (c)")</f>
        <v>2016 ¹ (c)</v>
      </c>
      <c r="I25" s="32">
        <f>ANIO_INFORME</f>
        <v>2017</v>
      </c>
    </row>
    <row r="26" spans="4:9" x14ac:dyDescent="0.25">
      <c r="D26" s="83"/>
    </row>
    <row r="29" spans="4:9" x14ac:dyDescent="0.25">
      <c r="D29" t="s">
        <v>3135</v>
      </c>
      <c r="E29" t="s">
        <v>3136</v>
      </c>
    </row>
    <row r="30" spans="4:9" x14ac:dyDescent="0.25">
      <c r="D30" s="128">
        <v>-1.7976931348623099E+100</v>
      </c>
      <c r="E30" s="128">
        <v>1.7976931348623099E+100</v>
      </c>
    </row>
    <row r="32" spans="4:9" x14ac:dyDescent="0.25">
      <c r="D32" t="s">
        <v>3137</v>
      </c>
      <c r="E32" t="s">
        <v>3138</v>
      </c>
    </row>
    <row r="33" spans="4:5" x14ac:dyDescent="0.25">
      <c r="D33" s="129">
        <v>36526</v>
      </c>
      <c r="E33" s="12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 x14ac:dyDescent="0.25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 x14ac:dyDescent="0.25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 x14ac:dyDescent="0.25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 x14ac:dyDescent="0.25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 x14ac:dyDescent="0.25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 x14ac:dyDescent="0.25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 x14ac:dyDescent="0.25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 x14ac:dyDescent="0.25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 x14ac:dyDescent="0.25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 x14ac:dyDescent="0.25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 x14ac:dyDescent="0.25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 x14ac:dyDescent="0.25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 x14ac:dyDescent="0.25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 x14ac:dyDescent="0.25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 x14ac:dyDescent="0.25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 x14ac:dyDescent="0.25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 x14ac:dyDescent="0.25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 x14ac:dyDescent="0.25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 x14ac:dyDescent="0.25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 x14ac:dyDescent="0.25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 x14ac:dyDescent="0.25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 x14ac:dyDescent="0.25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 x14ac:dyDescent="0.25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 x14ac:dyDescent="0.25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 x14ac:dyDescent="0.25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 x14ac:dyDescent="0.25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 x14ac:dyDescent="0.25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 x14ac:dyDescent="0.25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 x14ac:dyDescent="0.25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 x14ac:dyDescent="0.25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 x14ac:dyDescent="0.25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 x14ac:dyDescent="0.25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 x14ac:dyDescent="0.25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 x14ac:dyDescent="0.25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 x14ac:dyDescent="0.25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 x14ac:dyDescent="0.25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 x14ac:dyDescent="0.25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 x14ac:dyDescent="0.25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 x14ac:dyDescent="0.25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 x14ac:dyDescent="0.25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 x14ac:dyDescent="0.25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 x14ac:dyDescent="0.25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 x14ac:dyDescent="0.25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 x14ac:dyDescent="0.25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 x14ac:dyDescent="0.25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 x14ac:dyDescent="0.25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 x14ac:dyDescent="0.25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 x14ac:dyDescent="0.25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 x14ac:dyDescent="0.25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 x14ac:dyDescent="0.25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 x14ac:dyDescent="0.25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 x14ac:dyDescent="0.25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 x14ac:dyDescent="0.25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 x14ac:dyDescent="0.25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 x14ac:dyDescent="0.25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 x14ac:dyDescent="0.25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 x14ac:dyDescent="0.25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 x14ac:dyDescent="0.25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 x14ac:dyDescent="0.25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 x14ac:dyDescent="0.25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 x14ac:dyDescent="0.25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 x14ac:dyDescent="0.25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 x14ac:dyDescent="0.25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 x14ac:dyDescent="0.2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 x14ac:dyDescent="0.2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 x14ac:dyDescent="0.2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 x14ac:dyDescent="0.2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 x14ac:dyDescent="0.2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 x14ac:dyDescent="0.2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 x14ac:dyDescent="0.2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 x14ac:dyDescent="0.2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 x14ac:dyDescent="0.2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 x14ac:dyDescent="0.2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 x14ac:dyDescent="0.2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 x14ac:dyDescent="0.2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 x14ac:dyDescent="0.2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 x14ac:dyDescent="0.2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 x14ac:dyDescent="0.2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 x14ac:dyDescent="0.2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 x14ac:dyDescent="0.2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 x14ac:dyDescent="0.2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 x14ac:dyDescent="0.2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 x14ac:dyDescent="0.2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 x14ac:dyDescent="0.2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 x14ac:dyDescent="0.2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 x14ac:dyDescent="0.2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 x14ac:dyDescent="0.2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 x14ac:dyDescent="0.2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 x14ac:dyDescent="0.2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 x14ac:dyDescent="0.2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 x14ac:dyDescent="0.2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 x14ac:dyDescent="0.2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 x14ac:dyDescent="0.2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 x14ac:dyDescent="0.2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 x14ac:dyDescent="0.2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 x14ac:dyDescent="0.2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 x14ac:dyDescent="0.2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 x14ac:dyDescent="0.2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 x14ac:dyDescent="0.2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 x14ac:dyDescent="0.2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 x14ac:dyDescent="0.2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 x14ac:dyDescent="0.2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 x14ac:dyDescent="0.2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 x14ac:dyDescent="0.2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 x14ac:dyDescent="0.2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 x14ac:dyDescent="0.2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 x14ac:dyDescent="0.2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 x14ac:dyDescent="0.2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 x14ac:dyDescent="0.2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 x14ac:dyDescent="0.2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 x14ac:dyDescent="0.2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 x14ac:dyDescent="0.25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 x14ac:dyDescent="0.25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 x14ac:dyDescent="0.25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 x14ac:dyDescent="0.25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 x14ac:dyDescent="0.25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 x14ac:dyDescent="0.25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 x14ac:dyDescent="0.25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 x14ac:dyDescent="0.25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 x14ac:dyDescent="0.25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 x14ac:dyDescent="0.25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 x14ac:dyDescent="0.25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 x14ac:dyDescent="0.25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 x14ac:dyDescent="0.25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 x14ac:dyDescent="0.25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 x14ac:dyDescent="0.25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 x14ac:dyDescent="0.25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 x14ac:dyDescent="0.25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 x14ac:dyDescent="0.25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 x14ac:dyDescent="0.25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 x14ac:dyDescent="0.25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 x14ac:dyDescent="0.25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 x14ac:dyDescent="0.25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 x14ac:dyDescent="0.25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 x14ac:dyDescent="0.25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 x14ac:dyDescent="0.25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 x14ac:dyDescent="0.25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 x14ac:dyDescent="0.25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 x14ac:dyDescent="0.25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 x14ac:dyDescent="0.25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 x14ac:dyDescent="0.25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 x14ac:dyDescent="0.25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 x14ac:dyDescent="0.25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 x14ac:dyDescent="0.25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 x14ac:dyDescent="0.25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 x14ac:dyDescent="0.25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 x14ac:dyDescent="0.25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 x14ac:dyDescent="0.25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 x14ac:dyDescent="0.25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 x14ac:dyDescent="0.25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 x14ac:dyDescent="0.25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 x14ac:dyDescent="0.25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 x14ac:dyDescent="0.25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 x14ac:dyDescent="0.25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 x14ac:dyDescent="0.25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 x14ac:dyDescent="0.25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 x14ac:dyDescent="0.25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 x14ac:dyDescent="0.25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 x14ac:dyDescent="0.25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 x14ac:dyDescent="0.25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 x14ac:dyDescent="0.25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 x14ac:dyDescent="0.25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 x14ac:dyDescent="0.25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 x14ac:dyDescent="0.25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 x14ac:dyDescent="0.25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 x14ac:dyDescent="0.25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 x14ac:dyDescent="0.25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 x14ac:dyDescent="0.25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 x14ac:dyDescent="0.25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 x14ac:dyDescent="0.25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 x14ac:dyDescent="0.25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 x14ac:dyDescent="0.25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 x14ac:dyDescent="0.25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 x14ac:dyDescent="0.25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 x14ac:dyDescent="0.25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 x14ac:dyDescent="0.25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 x14ac:dyDescent="0.25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 x14ac:dyDescent="0.25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 x14ac:dyDescent="0.25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 x14ac:dyDescent="0.25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 x14ac:dyDescent="0.25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 x14ac:dyDescent="0.25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 x14ac:dyDescent="0.25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 x14ac:dyDescent="0.25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 x14ac:dyDescent="0.25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 x14ac:dyDescent="0.25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 x14ac:dyDescent="0.25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 x14ac:dyDescent="0.25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 x14ac:dyDescent="0.25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 x14ac:dyDescent="0.25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 x14ac:dyDescent="0.25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 x14ac:dyDescent="0.25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 x14ac:dyDescent="0.25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 x14ac:dyDescent="0.25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 x14ac:dyDescent="0.25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 x14ac:dyDescent="0.25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 x14ac:dyDescent="0.25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 x14ac:dyDescent="0.25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 x14ac:dyDescent="0.25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 x14ac:dyDescent="0.25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 x14ac:dyDescent="0.25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 x14ac:dyDescent="0.25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 x14ac:dyDescent="0.25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 x14ac:dyDescent="0.25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 x14ac:dyDescent="0.25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 x14ac:dyDescent="0.25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 x14ac:dyDescent="0.25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 x14ac:dyDescent="0.25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 x14ac:dyDescent="0.25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 x14ac:dyDescent="0.25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 x14ac:dyDescent="0.25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 x14ac:dyDescent="0.25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 x14ac:dyDescent="0.25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 x14ac:dyDescent="0.25">
      <c r="AP215">
        <v>20</v>
      </c>
      <c r="AQ215" t="s">
        <v>1970</v>
      </c>
      <c r="AR215">
        <v>21</v>
      </c>
      <c r="AS215" t="s">
        <v>2525</v>
      </c>
    </row>
    <row r="216" spans="42:63" x14ac:dyDescent="0.25">
      <c r="AP216">
        <v>20</v>
      </c>
      <c r="AQ216" t="s">
        <v>1971</v>
      </c>
      <c r="AR216">
        <v>21</v>
      </c>
      <c r="AS216" t="s">
        <v>2526</v>
      </c>
    </row>
    <row r="217" spans="42:63" x14ac:dyDescent="0.25">
      <c r="AP217">
        <v>20</v>
      </c>
      <c r="AQ217" t="s">
        <v>1972</v>
      </c>
      <c r="AR217">
        <v>21</v>
      </c>
      <c r="AS217" t="s">
        <v>2527</v>
      </c>
    </row>
    <row r="218" spans="42:63" x14ac:dyDescent="0.25">
      <c r="AP218">
        <v>20</v>
      </c>
      <c r="AQ218" t="s">
        <v>1973</v>
      </c>
      <c r="AR218">
        <v>21</v>
      </c>
      <c r="AS218" t="s">
        <v>2528</v>
      </c>
    </row>
    <row r="219" spans="42:63" x14ac:dyDescent="0.25">
      <c r="AP219">
        <v>20</v>
      </c>
      <c r="AQ219" t="s">
        <v>1974</v>
      </c>
      <c r="AR219">
        <v>21</v>
      </c>
      <c r="AS219" t="s">
        <v>2529</v>
      </c>
    </row>
    <row r="220" spans="42:63" x14ac:dyDescent="0.25">
      <c r="AP220">
        <v>20</v>
      </c>
      <c r="AQ220" t="s">
        <v>1975</v>
      </c>
    </row>
    <row r="221" spans="42:63" x14ac:dyDescent="0.25">
      <c r="AP221">
        <v>20</v>
      </c>
      <c r="AQ221" t="s">
        <v>1976</v>
      </c>
    </row>
    <row r="222" spans="42:63" x14ac:dyDescent="0.25">
      <c r="AP222">
        <v>20</v>
      </c>
      <c r="AQ222" t="s">
        <v>1977</v>
      </c>
    </row>
    <row r="223" spans="42:63" x14ac:dyDescent="0.25">
      <c r="AP223">
        <v>20</v>
      </c>
      <c r="AQ223" t="s">
        <v>1978</v>
      </c>
    </row>
    <row r="224" spans="42:63" x14ac:dyDescent="0.25">
      <c r="AP224">
        <v>20</v>
      </c>
      <c r="AQ224" t="s">
        <v>1979</v>
      </c>
    </row>
    <row r="225" spans="42:43" x14ac:dyDescent="0.25">
      <c r="AP225">
        <v>20</v>
      </c>
      <c r="AQ225" t="s">
        <v>1980</v>
      </c>
    </row>
    <row r="226" spans="42:43" x14ac:dyDescent="0.25">
      <c r="AP226">
        <v>20</v>
      </c>
      <c r="AQ226" t="s">
        <v>1981</v>
      </c>
    </row>
    <row r="227" spans="42:43" x14ac:dyDescent="0.25">
      <c r="AP227">
        <v>20</v>
      </c>
      <c r="AQ227" t="s">
        <v>1982</v>
      </c>
    </row>
    <row r="228" spans="42:43" x14ac:dyDescent="0.25">
      <c r="AP228">
        <v>20</v>
      </c>
      <c r="AQ228" t="s">
        <v>1983</v>
      </c>
    </row>
    <row r="229" spans="42:43" x14ac:dyDescent="0.25">
      <c r="AP229">
        <v>20</v>
      </c>
      <c r="AQ229" t="s">
        <v>1984</v>
      </c>
    </row>
    <row r="230" spans="42:43" x14ac:dyDescent="0.25">
      <c r="AP230">
        <v>20</v>
      </c>
      <c r="AQ230" t="s">
        <v>1985</v>
      </c>
    </row>
    <row r="231" spans="42:43" x14ac:dyDescent="0.25">
      <c r="AP231">
        <v>20</v>
      </c>
      <c r="AQ231" t="s">
        <v>1986</v>
      </c>
    </row>
    <row r="232" spans="42:43" x14ac:dyDescent="0.25">
      <c r="AP232">
        <v>20</v>
      </c>
      <c r="AQ232" t="s">
        <v>1987</v>
      </c>
    </row>
    <row r="233" spans="42:43" x14ac:dyDescent="0.25">
      <c r="AP233">
        <v>20</v>
      </c>
      <c r="AQ233" t="s">
        <v>1988</v>
      </c>
    </row>
    <row r="234" spans="42:43" x14ac:dyDescent="0.25">
      <c r="AP234">
        <v>20</v>
      </c>
      <c r="AQ234" t="s">
        <v>1989</v>
      </c>
    </row>
    <row r="235" spans="42:43" x14ac:dyDescent="0.25">
      <c r="AP235">
        <v>20</v>
      </c>
      <c r="AQ235" t="s">
        <v>1990</v>
      </c>
    </row>
    <row r="236" spans="42:43" x14ac:dyDescent="0.25">
      <c r="AP236">
        <v>20</v>
      </c>
      <c r="AQ236" t="s">
        <v>1991</v>
      </c>
    </row>
    <row r="237" spans="42:43" x14ac:dyDescent="0.25">
      <c r="AP237">
        <v>20</v>
      </c>
      <c r="AQ237" t="s">
        <v>1992</v>
      </c>
    </row>
    <row r="238" spans="42:43" x14ac:dyDescent="0.25">
      <c r="AP238">
        <v>20</v>
      </c>
      <c r="AQ238" t="s">
        <v>1993</v>
      </c>
    </row>
    <row r="239" spans="42:43" x14ac:dyDescent="0.25">
      <c r="AP239">
        <v>20</v>
      </c>
      <c r="AQ239" t="s">
        <v>1994</v>
      </c>
    </row>
    <row r="240" spans="42:43" x14ac:dyDescent="0.25">
      <c r="AP240">
        <v>20</v>
      </c>
      <c r="AQ240" t="s">
        <v>1995</v>
      </c>
    </row>
    <row r="241" spans="42:43" x14ac:dyDescent="0.25">
      <c r="AP241">
        <v>20</v>
      </c>
      <c r="AQ241" t="s">
        <v>1996</v>
      </c>
    </row>
    <row r="242" spans="42:43" x14ac:dyDescent="0.25">
      <c r="AP242">
        <v>20</v>
      </c>
      <c r="AQ242" t="s">
        <v>1997</v>
      </c>
    </row>
    <row r="243" spans="42:43" x14ac:dyDescent="0.25">
      <c r="AP243">
        <v>20</v>
      </c>
      <c r="AQ243" t="s">
        <v>1998</v>
      </c>
    </row>
    <row r="244" spans="42:43" x14ac:dyDescent="0.25">
      <c r="AP244">
        <v>20</v>
      </c>
      <c r="AQ244" t="s">
        <v>1999</v>
      </c>
    </row>
    <row r="245" spans="42:43" x14ac:dyDescent="0.25">
      <c r="AP245">
        <v>20</v>
      </c>
      <c r="AQ245" t="s">
        <v>2000</v>
      </c>
    </row>
    <row r="246" spans="42:43" x14ac:dyDescent="0.25">
      <c r="AP246">
        <v>20</v>
      </c>
      <c r="AQ246" t="s">
        <v>2001</v>
      </c>
    </row>
    <row r="247" spans="42:43" x14ac:dyDescent="0.25">
      <c r="AP247">
        <v>20</v>
      </c>
      <c r="AQ247" t="s">
        <v>2002</v>
      </c>
    </row>
    <row r="248" spans="42:43" x14ac:dyDescent="0.25">
      <c r="AP248">
        <v>20</v>
      </c>
      <c r="AQ248" t="s">
        <v>2003</v>
      </c>
    </row>
    <row r="249" spans="42:43" x14ac:dyDescent="0.25">
      <c r="AP249">
        <v>20</v>
      </c>
      <c r="AQ249" t="s">
        <v>2004</v>
      </c>
    </row>
    <row r="250" spans="42:43" x14ac:dyDescent="0.25">
      <c r="AP250">
        <v>20</v>
      </c>
      <c r="AQ250" t="s">
        <v>2005</v>
      </c>
    </row>
    <row r="251" spans="42:43" x14ac:dyDescent="0.25">
      <c r="AP251">
        <v>20</v>
      </c>
      <c r="AQ251" t="s">
        <v>2006</v>
      </c>
    </row>
    <row r="252" spans="42:43" x14ac:dyDescent="0.25">
      <c r="AP252">
        <v>20</v>
      </c>
      <c r="AQ252" t="s">
        <v>2007</v>
      </c>
    </row>
    <row r="253" spans="42:43" x14ac:dyDescent="0.25">
      <c r="AP253">
        <v>20</v>
      </c>
      <c r="AQ253" t="s">
        <v>2008</v>
      </c>
    </row>
    <row r="254" spans="42:43" x14ac:dyDescent="0.25">
      <c r="AP254">
        <v>20</v>
      </c>
      <c r="AQ254" t="s">
        <v>2009</v>
      </c>
    </row>
    <row r="255" spans="42:43" x14ac:dyDescent="0.25">
      <c r="AP255">
        <v>20</v>
      </c>
      <c r="AQ255" t="s">
        <v>2010</v>
      </c>
    </row>
    <row r="256" spans="42:43" x14ac:dyDescent="0.25">
      <c r="AP256">
        <v>20</v>
      </c>
      <c r="AQ256" t="s">
        <v>2011</v>
      </c>
    </row>
    <row r="257" spans="42:43" x14ac:dyDescent="0.25">
      <c r="AP257">
        <v>20</v>
      </c>
      <c r="AQ257" t="s">
        <v>2012</v>
      </c>
    </row>
    <row r="258" spans="42:43" x14ac:dyDescent="0.25">
      <c r="AP258">
        <v>20</v>
      </c>
      <c r="AQ258" t="s">
        <v>2013</v>
      </c>
    </row>
    <row r="259" spans="42:43" x14ac:dyDescent="0.25">
      <c r="AP259">
        <v>20</v>
      </c>
      <c r="AQ259" t="s">
        <v>2014</v>
      </c>
    </row>
    <row r="260" spans="42:43" x14ac:dyDescent="0.25">
      <c r="AP260">
        <v>20</v>
      </c>
      <c r="AQ260" t="s">
        <v>2015</v>
      </c>
    </row>
    <row r="261" spans="42:43" x14ac:dyDescent="0.25">
      <c r="AP261">
        <v>20</v>
      </c>
      <c r="AQ261" t="s">
        <v>2016</v>
      </c>
    </row>
    <row r="262" spans="42:43" x14ac:dyDescent="0.25">
      <c r="AP262">
        <v>20</v>
      </c>
      <c r="AQ262" t="s">
        <v>2017</v>
      </c>
    </row>
    <row r="263" spans="42:43" x14ac:dyDescent="0.25">
      <c r="AP263">
        <v>20</v>
      </c>
      <c r="AQ263" t="s">
        <v>2018</v>
      </c>
    </row>
    <row r="264" spans="42:43" x14ac:dyDescent="0.25">
      <c r="AP264">
        <v>20</v>
      </c>
      <c r="AQ264" t="s">
        <v>2019</v>
      </c>
    </row>
    <row r="265" spans="42:43" x14ac:dyDescent="0.25">
      <c r="AP265">
        <v>20</v>
      </c>
      <c r="AQ265" t="s">
        <v>2020</v>
      </c>
    </row>
    <row r="266" spans="42:43" x14ac:dyDescent="0.25">
      <c r="AP266">
        <v>20</v>
      </c>
      <c r="AQ266" t="s">
        <v>2021</v>
      </c>
    </row>
    <row r="267" spans="42:43" x14ac:dyDescent="0.25">
      <c r="AP267">
        <v>20</v>
      </c>
      <c r="AQ267" t="s">
        <v>2022</v>
      </c>
    </row>
    <row r="268" spans="42:43" x14ac:dyDescent="0.25">
      <c r="AP268">
        <v>20</v>
      </c>
      <c r="AQ268" t="s">
        <v>2023</v>
      </c>
    </row>
    <row r="269" spans="42:43" x14ac:dyDescent="0.25">
      <c r="AP269">
        <v>20</v>
      </c>
      <c r="AQ269" t="s">
        <v>2024</v>
      </c>
    </row>
    <row r="270" spans="42:43" x14ac:dyDescent="0.25">
      <c r="AP270">
        <v>20</v>
      </c>
      <c r="AQ270" t="s">
        <v>2025</v>
      </c>
    </row>
    <row r="271" spans="42:43" x14ac:dyDescent="0.25">
      <c r="AP271">
        <v>20</v>
      </c>
      <c r="AQ271" t="s">
        <v>2026</v>
      </c>
    </row>
    <row r="272" spans="42:43" x14ac:dyDescent="0.25">
      <c r="AP272">
        <v>20</v>
      </c>
      <c r="AQ272" t="s">
        <v>2027</v>
      </c>
    </row>
    <row r="273" spans="42:43" x14ac:dyDescent="0.25">
      <c r="AP273">
        <v>20</v>
      </c>
      <c r="AQ273" t="s">
        <v>2028</v>
      </c>
    </row>
    <row r="274" spans="42:43" x14ac:dyDescent="0.25">
      <c r="AP274">
        <v>20</v>
      </c>
      <c r="AQ274" t="s">
        <v>2029</v>
      </c>
    </row>
    <row r="275" spans="42:43" x14ac:dyDescent="0.25">
      <c r="AP275">
        <v>20</v>
      </c>
      <c r="AQ275" t="s">
        <v>2030</v>
      </c>
    </row>
    <row r="276" spans="42:43" x14ac:dyDescent="0.25">
      <c r="AP276">
        <v>20</v>
      </c>
      <c r="AQ276" t="s">
        <v>2031</v>
      </c>
    </row>
    <row r="277" spans="42:43" x14ac:dyDescent="0.25">
      <c r="AP277">
        <v>20</v>
      </c>
      <c r="AQ277" t="s">
        <v>2032</v>
      </c>
    </row>
    <row r="278" spans="42:43" x14ac:dyDescent="0.25">
      <c r="AP278">
        <v>20</v>
      </c>
      <c r="AQ278" t="s">
        <v>2033</v>
      </c>
    </row>
    <row r="279" spans="42:43" x14ac:dyDescent="0.25">
      <c r="AP279">
        <v>20</v>
      </c>
      <c r="AQ279" t="s">
        <v>2034</v>
      </c>
    </row>
    <row r="280" spans="42:43" x14ac:dyDescent="0.25">
      <c r="AP280">
        <v>20</v>
      </c>
      <c r="AQ280" t="s">
        <v>2035</v>
      </c>
    </row>
    <row r="281" spans="42:43" x14ac:dyDescent="0.25">
      <c r="AP281">
        <v>20</v>
      </c>
      <c r="AQ281" t="s">
        <v>2036</v>
      </c>
    </row>
    <row r="282" spans="42:43" x14ac:dyDescent="0.25">
      <c r="AP282">
        <v>20</v>
      </c>
      <c r="AQ282" t="s">
        <v>2037</v>
      </c>
    </row>
    <row r="283" spans="42:43" x14ac:dyDescent="0.25">
      <c r="AP283">
        <v>20</v>
      </c>
      <c r="AQ283" t="s">
        <v>2038</v>
      </c>
    </row>
    <row r="284" spans="42:43" x14ac:dyDescent="0.25">
      <c r="AP284">
        <v>20</v>
      </c>
      <c r="AQ284" t="s">
        <v>2039</v>
      </c>
    </row>
    <row r="285" spans="42:43" x14ac:dyDescent="0.25">
      <c r="AP285">
        <v>20</v>
      </c>
      <c r="AQ285" t="s">
        <v>2040</v>
      </c>
    </row>
    <row r="286" spans="42:43" x14ac:dyDescent="0.25">
      <c r="AP286">
        <v>20</v>
      </c>
      <c r="AQ286" t="s">
        <v>2041</v>
      </c>
    </row>
    <row r="287" spans="42:43" x14ac:dyDescent="0.25">
      <c r="AP287">
        <v>20</v>
      </c>
      <c r="AQ287" t="s">
        <v>2042</v>
      </c>
    </row>
    <row r="288" spans="42:43" x14ac:dyDescent="0.25">
      <c r="AP288">
        <v>20</v>
      </c>
      <c r="AQ288" t="s">
        <v>2043</v>
      </c>
    </row>
    <row r="289" spans="42:43" x14ac:dyDescent="0.25">
      <c r="AP289">
        <v>20</v>
      </c>
      <c r="AQ289" t="s">
        <v>2044</v>
      </c>
    </row>
    <row r="290" spans="42:43" x14ac:dyDescent="0.25">
      <c r="AP290">
        <v>20</v>
      </c>
      <c r="AQ290" t="s">
        <v>2045</v>
      </c>
    </row>
    <row r="291" spans="42:43" x14ac:dyDescent="0.25">
      <c r="AP291">
        <v>20</v>
      </c>
      <c r="AQ291" t="s">
        <v>2046</v>
      </c>
    </row>
    <row r="292" spans="42:43" x14ac:dyDescent="0.25">
      <c r="AP292">
        <v>20</v>
      </c>
      <c r="AQ292" t="s">
        <v>2047</v>
      </c>
    </row>
    <row r="293" spans="42:43" x14ac:dyDescent="0.25">
      <c r="AP293">
        <v>20</v>
      </c>
      <c r="AQ293" t="s">
        <v>2048</v>
      </c>
    </row>
    <row r="294" spans="42:43" x14ac:dyDescent="0.25">
      <c r="AP294">
        <v>20</v>
      </c>
      <c r="AQ294" t="s">
        <v>2049</v>
      </c>
    </row>
    <row r="295" spans="42:43" x14ac:dyDescent="0.25">
      <c r="AP295">
        <v>20</v>
      </c>
      <c r="AQ295" t="s">
        <v>2050</v>
      </c>
    </row>
    <row r="296" spans="42:43" x14ac:dyDescent="0.25">
      <c r="AP296">
        <v>20</v>
      </c>
      <c r="AQ296" t="s">
        <v>2051</v>
      </c>
    </row>
    <row r="297" spans="42:43" x14ac:dyDescent="0.25">
      <c r="AP297">
        <v>20</v>
      </c>
      <c r="AQ297" t="s">
        <v>2052</v>
      </c>
    </row>
    <row r="298" spans="42:43" x14ac:dyDescent="0.25">
      <c r="AP298">
        <v>20</v>
      </c>
      <c r="AQ298" t="s">
        <v>2053</v>
      </c>
    </row>
    <row r="299" spans="42:43" x14ac:dyDescent="0.25">
      <c r="AP299">
        <v>20</v>
      </c>
      <c r="AQ299" t="s">
        <v>2054</v>
      </c>
    </row>
    <row r="300" spans="42:43" x14ac:dyDescent="0.25">
      <c r="AP300">
        <v>20</v>
      </c>
      <c r="AQ300" t="s">
        <v>2055</v>
      </c>
    </row>
    <row r="301" spans="42:43" x14ac:dyDescent="0.25">
      <c r="AP301">
        <v>20</v>
      </c>
      <c r="AQ301" t="s">
        <v>2056</v>
      </c>
    </row>
    <row r="302" spans="42:43" x14ac:dyDescent="0.25">
      <c r="AP302">
        <v>20</v>
      </c>
      <c r="AQ302" t="s">
        <v>2057</v>
      </c>
    </row>
    <row r="303" spans="42:43" x14ac:dyDescent="0.25">
      <c r="AP303">
        <v>20</v>
      </c>
      <c r="AQ303" t="s">
        <v>2058</v>
      </c>
    </row>
    <row r="304" spans="42:43" x14ac:dyDescent="0.25">
      <c r="AP304">
        <v>20</v>
      </c>
      <c r="AQ304" t="s">
        <v>2059</v>
      </c>
    </row>
    <row r="305" spans="42:43" x14ac:dyDescent="0.25">
      <c r="AP305">
        <v>20</v>
      </c>
      <c r="AQ305" t="s">
        <v>2060</v>
      </c>
    </row>
    <row r="306" spans="42:43" x14ac:dyDescent="0.25">
      <c r="AP306">
        <v>20</v>
      </c>
      <c r="AQ306" t="s">
        <v>2061</v>
      </c>
    </row>
    <row r="307" spans="42:43" x14ac:dyDescent="0.25">
      <c r="AP307">
        <v>20</v>
      </c>
      <c r="AQ307" t="s">
        <v>2062</v>
      </c>
    </row>
    <row r="308" spans="42:43" x14ac:dyDescent="0.25">
      <c r="AP308">
        <v>20</v>
      </c>
      <c r="AQ308" t="s">
        <v>2063</v>
      </c>
    </row>
    <row r="309" spans="42:43" x14ac:dyDescent="0.25">
      <c r="AP309">
        <v>20</v>
      </c>
      <c r="AQ309" t="s">
        <v>2064</v>
      </c>
    </row>
    <row r="310" spans="42:43" x14ac:dyDescent="0.25">
      <c r="AP310">
        <v>20</v>
      </c>
      <c r="AQ310" t="s">
        <v>2065</v>
      </c>
    </row>
    <row r="311" spans="42:43" x14ac:dyDescent="0.25">
      <c r="AP311">
        <v>20</v>
      </c>
      <c r="AQ311" t="s">
        <v>2066</v>
      </c>
    </row>
    <row r="312" spans="42:43" x14ac:dyDescent="0.25">
      <c r="AP312">
        <v>20</v>
      </c>
      <c r="AQ312" t="s">
        <v>2067</v>
      </c>
    </row>
    <row r="313" spans="42:43" x14ac:dyDescent="0.25">
      <c r="AP313">
        <v>20</v>
      </c>
      <c r="AQ313" t="s">
        <v>2068</v>
      </c>
    </row>
    <row r="314" spans="42:43" x14ac:dyDescent="0.25">
      <c r="AP314">
        <v>20</v>
      </c>
      <c r="AQ314" t="s">
        <v>2069</v>
      </c>
    </row>
    <row r="315" spans="42:43" x14ac:dyDescent="0.25">
      <c r="AP315">
        <v>20</v>
      </c>
      <c r="AQ315" t="s">
        <v>2070</v>
      </c>
    </row>
    <row r="316" spans="42:43" x14ac:dyDescent="0.25">
      <c r="AP316">
        <v>20</v>
      </c>
      <c r="AQ316" t="s">
        <v>2071</v>
      </c>
    </row>
    <row r="317" spans="42:43" x14ac:dyDescent="0.25">
      <c r="AP317">
        <v>20</v>
      </c>
      <c r="AQ317" t="s">
        <v>2072</v>
      </c>
    </row>
    <row r="318" spans="42:43" x14ac:dyDescent="0.25">
      <c r="AP318">
        <v>20</v>
      </c>
      <c r="AQ318" t="s">
        <v>2073</v>
      </c>
    </row>
    <row r="319" spans="42:43" x14ac:dyDescent="0.25">
      <c r="AP319">
        <v>20</v>
      </c>
      <c r="AQ319" t="s">
        <v>2074</v>
      </c>
    </row>
    <row r="320" spans="42:43" x14ac:dyDescent="0.25">
      <c r="AP320">
        <v>20</v>
      </c>
      <c r="AQ320" t="s">
        <v>2075</v>
      </c>
    </row>
    <row r="321" spans="42:43" x14ac:dyDescent="0.25">
      <c r="AP321">
        <v>20</v>
      </c>
      <c r="AQ321" t="s">
        <v>2076</v>
      </c>
    </row>
    <row r="322" spans="42:43" x14ac:dyDescent="0.25">
      <c r="AP322">
        <v>20</v>
      </c>
      <c r="AQ322" t="s">
        <v>2077</v>
      </c>
    </row>
    <row r="323" spans="42:43" x14ac:dyDescent="0.25">
      <c r="AP323">
        <v>20</v>
      </c>
      <c r="AQ323" t="s">
        <v>2078</v>
      </c>
    </row>
    <row r="324" spans="42:43" x14ac:dyDescent="0.25">
      <c r="AP324">
        <v>20</v>
      </c>
      <c r="AQ324" t="s">
        <v>2079</v>
      </c>
    </row>
    <row r="325" spans="42:43" x14ac:dyDescent="0.25">
      <c r="AP325">
        <v>20</v>
      </c>
      <c r="AQ325" t="s">
        <v>2080</v>
      </c>
    </row>
    <row r="326" spans="42:43" x14ac:dyDescent="0.25">
      <c r="AP326">
        <v>20</v>
      </c>
      <c r="AQ326" t="s">
        <v>2081</v>
      </c>
    </row>
    <row r="327" spans="42:43" x14ac:dyDescent="0.25">
      <c r="AP327">
        <v>20</v>
      </c>
      <c r="AQ327" t="s">
        <v>2082</v>
      </c>
    </row>
    <row r="328" spans="42:43" x14ac:dyDescent="0.25">
      <c r="AP328">
        <v>20</v>
      </c>
      <c r="AQ328" t="s">
        <v>2083</v>
      </c>
    </row>
    <row r="329" spans="42:43" x14ac:dyDescent="0.25">
      <c r="AP329">
        <v>20</v>
      </c>
      <c r="AQ329" t="s">
        <v>2084</v>
      </c>
    </row>
    <row r="330" spans="42:43" x14ac:dyDescent="0.25">
      <c r="AP330">
        <v>20</v>
      </c>
      <c r="AQ330" t="s">
        <v>2085</v>
      </c>
    </row>
    <row r="331" spans="42:43" x14ac:dyDescent="0.25">
      <c r="AP331">
        <v>20</v>
      </c>
      <c r="AQ331" t="s">
        <v>2086</v>
      </c>
    </row>
    <row r="332" spans="42:43" x14ac:dyDescent="0.25">
      <c r="AP332">
        <v>20</v>
      </c>
      <c r="AQ332" t="s">
        <v>2087</v>
      </c>
    </row>
    <row r="333" spans="42:43" x14ac:dyDescent="0.25">
      <c r="AP333">
        <v>20</v>
      </c>
      <c r="AQ333" t="s">
        <v>2088</v>
      </c>
    </row>
    <row r="334" spans="42:43" x14ac:dyDescent="0.25">
      <c r="AP334">
        <v>20</v>
      </c>
      <c r="AQ334" t="s">
        <v>2089</v>
      </c>
    </row>
    <row r="335" spans="42:43" x14ac:dyDescent="0.25">
      <c r="AP335">
        <v>20</v>
      </c>
      <c r="AQ335" t="s">
        <v>2090</v>
      </c>
    </row>
    <row r="336" spans="42:43" x14ac:dyDescent="0.25">
      <c r="AP336">
        <v>20</v>
      </c>
      <c r="AQ336" t="s">
        <v>2091</v>
      </c>
    </row>
    <row r="337" spans="42:43" x14ac:dyDescent="0.25">
      <c r="AP337">
        <v>20</v>
      </c>
      <c r="AQ337" t="s">
        <v>2092</v>
      </c>
    </row>
    <row r="338" spans="42:43" x14ac:dyDescent="0.25">
      <c r="AP338">
        <v>20</v>
      </c>
      <c r="AQ338" t="s">
        <v>2093</v>
      </c>
    </row>
    <row r="339" spans="42:43" x14ac:dyDescent="0.25">
      <c r="AP339">
        <v>20</v>
      </c>
      <c r="AQ339" t="s">
        <v>2094</v>
      </c>
    </row>
    <row r="340" spans="42:43" x14ac:dyDescent="0.25">
      <c r="AP340">
        <v>20</v>
      </c>
      <c r="AQ340" t="s">
        <v>2095</v>
      </c>
    </row>
    <row r="341" spans="42:43" x14ac:dyDescent="0.25">
      <c r="AP341">
        <v>20</v>
      </c>
      <c r="AQ341" t="s">
        <v>2096</v>
      </c>
    </row>
    <row r="342" spans="42:43" x14ac:dyDescent="0.25">
      <c r="AP342">
        <v>20</v>
      </c>
      <c r="AQ342" t="s">
        <v>2097</v>
      </c>
    </row>
    <row r="343" spans="42:43" x14ac:dyDescent="0.25">
      <c r="AP343">
        <v>20</v>
      </c>
      <c r="AQ343" t="s">
        <v>2098</v>
      </c>
    </row>
    <row r="344" spans="42:43" x14ac:dyDescent="0.25">
      <c r="AP344">
        <v>20</v>
      </c>
      <c r="AQ344" t="s">
        <v>2099</v>
      </c>
    </row>
    <row r="345" spans="42:43" x14ac:dyDescent="0.25">
      <c r="AP345">
        <v>20</v>
      </c>
      <c r="AQ345" t="s">
        <v>2100</v>
      </c>
    </row>
    <row r="346" spans="42:43" x14ac:dyDescent="0.25">
      <c r="AP346">
        <v>20</v>
      </c>
      <c r="AQ346" t="s">
        <v>2101</v>
      </c>
    </row>
    <row r="347" spans="42:43" x14ac:dyDescent="0.25">
      <c r="AP347">
        <v>20</v>
      </c>
      <c r="AQ347" t="s">
        <v>2102</v>
      </c>
    </row>
    <row r="348" spans="42:43" x14ac:dyDescent="0.25">
      <c r="AP348">
        <v>20</v>
      </c>
      <c r="AQ348" t="s">
        <v>2103</v>
      </c>
    </row>
    <row r="349" spans="42:43" x14ac:dyDescent="0.25">
      <c r="AP349">
        <v>20</v>
      </c>
      <c r="AQ349" t="s">
        <v>2104</v>
      </c>
    </row>
    <row r="350" spans="42:43" x14ac:dyDescent="0.25">
      <c r="AP350">
        <v>20</v>
      </c>
      <c r="AQ350" t="s">
        <v>2105</v>
      </c>
    </row>
    <row r="351" spans="42:43" x14ac:dyDescent="0.25">
      <c r="AP351">
        <v>20</v>
      </c>
      <c r="AQ351" t="s">
        <v>2106</v>
      </c>
    </row>
    <row r="352" spans="42:43" x14ac:dyDescent="0.25">
      <c r="AP352">
        <v>20</v>
      </c>
      <c r="AQ352" t="s">
        <v>2107</v>
      </c>
    </row>
    <row r="353" spans="42:43" x14ac:dyDescent="0.25">
      <c r="AP353">
        <v>20</v>
      </c>
      <c r="AQ353" t="s">
        <v>2108</v>
      </c>
    </row>
    <row r="354" spans="42:43" x14ac:dyDescent="0.25">
      <c r="AP354">
        <v>20</v>
      </c>
      <c r="AQ354" t="s">
        <v>2109</v>
      </c>
    </row>
    <row r="355" spans="42:43" x14ac:dyDescent="0.25">
      <c r="AP355">
        <v>20</v>
      </c>
      <c r="AQ355" t="s">
        <v>2110</v>
      </c>
    </row>
    <row r="356" spans="42:43" x14ac:dyDescent="0.25">
      <c r="AP356">
        <v>20</v>
      </c>
      <c r="AQ356" t="s">
        <v>2111</v>
      </c>
    </row>
    <row r="357" spans="42:43" x14ac:dyDescent="0.25">
      <c r="AP357">
        <v>20</v>
      </c>
      <c r="AQ357" t="s">
        <v>2112</v>
      </c>
    </row>
    <row r="358" spans="42:43" x14ac:dyDescent="0.25">
      <c r="AP358">
        <v>20</v>
      </c>
      <c r="AQ358" t="s">
        <v>2113</v>
      </c>
    </row>
    <row r="359" spans="42:43" x14ac:dyDescent="0.25">
      <c r="AP359">
        <v>20</v>
      </c>
      <c r="AQ359" t="s">
        <v>2114</v>
      </c>
    </row>
    <row r="360" spans="42:43" x14ac:dyDescent="0.25">
      <c r="AP360">
        <v>20</v>
      </c>
      <c r="AQ360" t="s">
        <v>2115</v>
      </c>
    </row>
    <row r="361" spans="42:43" x14ac:dyDescent="0.25">
      <c r="AP361">
        <v>20</v>
      </c>
      <c r="AQ361" t="s">
        <v>2116</v>
      </c>
    </row>
    <row r="362" spans="42:43" x14ac:dyDescent="0.25">
      <c r="AP362">
        <v>20</v>
      </c>
      <c r="AQ362" t="s">
        <v>2117</v>
      </c>
    </row>
    <row r="363" spans="42:43" x14ac:dyDescent="0.25">
      <c r="AP363">
        <v>20</v>
      </c>
      <c r="AQ363" t="s">
        <v>2118</v>
      </c>
    </row>
    <row r="364" spans="42:43" x14ac:dyDescent="0.25">
      <c r="AP364">
        <v>20</v>
      </c>
      <c r="AQ364" t="s">
        <v>2119</v>
      </c>
    </row>
    <row r="365" spans="42:43" x14ac:dyDescent="0.25">
      <c r="AP365">
        <v>20</v>
      </c>
      <c r="AQ365" t="s">
        <v>2120</v>
      </c>
    </row>
    <row r="366" spans="42:43" x14ac:dyDescent="0.25">
      <c r="AP366">
        <v>20</v>
      </c>
      <c r="AQ366" t="s">
        <v>2121</v>
      </c>
    </row>
    <row r="367" spans="42:43" x14ac:dyDescent="0.25">
      <c r="AP367">
        <v>20</v>
      </c>
      <c r="AQ367" t="s">
        <v>2122</v>
      </c>
    </row>
    <row r="368" spans="42:43" x14ac:dyDescent="0.25">
      <c r="AP368">
        <v>20</v>
      </c>
      <c r="AQ368" t="s">
        <v>2123</v>
      </c>
    </row>
    <row r="369" spans="42:43" x14ac:dyDescent="0.25">
      <c r="AP369">
        <v>20</v>
      </c>
      <c r="AQ369" t="s">
        <v>2124</v>
      </c>
    </row>
    <row r="370" spans="42:43" x14ac:dyDescent="0.25">
      <c r="AP370">
        <v>20</v>
      </c>
      <c r="AQ370" t="s">
        <v>2125</v>
      </c>
    </row>
    <row r="371" spans="42:43" x14ac:dyDescent="0.25">
      <c r="AP371">
        <v>20</v>
      </c>
      <c r="AQ371" t="s">
        <v>2126</v>
      </c>
    </row>
    <row r="372" spans="42:43" x14ac:dyDescent="0.25">
      <c r="AP372">
        <v>20</v>
      </c>
      <c r="AQ372" t="s">
        <v>2127</v>
      </c>
    </row>
    <row r="373" spans="42:43" x14ac:dyDescent="0.25">
      <c r="AP373">
        <v>20</v>
      </c>
      <c r="AQ373" t="s">
        <v>2128</v>
      </c>
    </row>
    <row r="374" spans="42:43" x14ac:dyDescent="0.25">
      <c r="AP374">
        <v>20</v>
      </c>
      <c r="AQ374" t="s">
        <v>2129</v>
      </c>
    </row>
    <row r="375" spans="42:43" x14ac:dyDescent="0.25">
      <c r="AP375">
        <v>20</v>
      </c>
      <c r="AQ375" t="s">
        <v>2130</v>
      </c>
    </row>
    <row r="376" spans="42:43" x14ac:dyDescent="0.25">
      <c r="AP376">
        <v>20</v>
      </c>
      <c r="AQ376" t="s">
        <v>2131</v>
      </c>
    </row>
    <row r="377" spans="42:43" x14ac:dyDescent="0.25">
      <c r="AP377">
        <v>20</v>
      </c>
      <c r="AQ377" t="s">
        <v>2132</v>
      </c>
    </row>
    <row r="378" spans="42:43" x14ac:dyDescent="0.25">
      <c r="AP378">
        <v>20</v>
      </c>
      <c r="AQ378" t="s">
        <v>2133</v>
      </c>
    </row>
    <row r="379" spans="42:43" x14ac:dyDescent="0.25">
      <c r="AP379">
        <v>20</v>
      </c>
      <c r="AQ379" t="s">
        <v>2134</v>
      </c>
    </row>
    <row r="380" spans="42:43" x14ac:dyDescent="0.25">
      <c r="AP380">
        <v>20</v>
      </c>
      <c r="AQ380" t="s">
        <v>2135</v>
      </c>
    </row>
    <row r="381" spans="42:43" x14ac:dyDescent="0.25">
      <c r="AP381">
        <v>20</v>
      </c>
      <c r="AQ381" t="s">
        <v>2136</v>
      </c>
    </row>
    <row r="382" spans="42:43" x14ac:dyDescent="0.25">
      <c r="AP382">
        <v>20</v>
      </c>
      <c r="AQ382" t="s">
        <v>2137</v>
      </c>
    </row>
    <row r="383" spans="42:43" x14ac:dyDescent="0.25">
      <c r="AP383">
        <v>20</v>
      </c>
      <c r="AQ383" t="s">
        <v>2138</v>
      </c>
    </row>
    <row r="384" spans="42:43" x14ac:dyDescent="0.25">
      <c r="AP384">
        <v>20</v>
      </c>
      <c r="AQ384" t="s">
        <v>2139</v>
      </c>
    </row>
    <row r="385" spans="42:43" x14ac:dyDescent="0.25">
      <c r="AP385">
        <v>20</v>
      </c>
      <c r="AQ385" t="s">
        <v>2140</v>
      </c>
    </row>
    <row r="386" spans="42:43" x14ac:dyDescent="0.25">
      <c r="AP386">
        <v>20</v>
      </c>
      <c r="AQ386" t="s">
        <v>2141</v>
      </c>
    </row>
    <row r="387" spans="42:43" x14ac:dyDescent="0.25">
      <c r="AP387">
        <v>20</v>
      </c>
      <c r="AQ387" t="s">
        <v>2142</v>
      </c>
    </row>
    <row r="388" spans="42:43" x14ac:dyDescent="0.25">
      <c r="AP388">
        <v>20</v>
      </c>
      <c r="AQ388" t="s">
        <v>2143</v>
      </c>
    </row>
    <row r="389" spans="42:43" x14ac:dyDescent="0.25">
      <c r="AP389">
        <v>20</v>
      </c>
      <c r="AQ389" t="s">
        <v>2144</v>
      </c>
    </row>
    <row r="390" spans="42:43" x14ac:dyDescent="0.25">
      <c r="AP390">
        <v>20</v>
      </c>
      <c r="AQ390" t="s">
        <v>2145</v>
      </c>
    </row>
    <row r="391" spans="42:43" x14ac:dyDescent="0.25">
      <c r="AP391">
        <v>20</v>
      </c>
      <c r="AQ391" t="s">
        <v>2146</v>
      </c>
    </row>
    <row r="392" spans="42:43" x14ac:dyDescent="0.25">
      <c r="AP392">
        <v>20</v>
      </c>
      <c r="AQ392" t="s">
        <v>2147</v>
      </c>
    </row>
    <row r="393" spans="42:43" x14ac:dyDescent="0.25">
      <c r="AP393">
        <v>20</v>
      </c>
      <c r="AQ393" t="s">
        <v>2148</v>
      </c>
    </row>
    <row r="394" spans="42:43" x14ac:dyDescent="0.25">
      <c r="AP394">
        <v>20</v>
      </c>
      <c r="AQ394" t="s">
        <v>2149</v>
      </c>
    </row>
    <row r="395" spans="42:43" x14ac:dyDescent="0.25">
      <c r="AP395">
        <v>20</v>
      </c>
      <c r="AQ395" t="s">
        <v>2150</v>
      </c>
    </row>
    <row r="396" spans="42:43" x14ac:dyDescent="0.25">
      <c r="AP396">
        <v>20</v>
      </c>
      <c r="AQ396" t="s">
        <v>2151</v>
      </c>
    </row>
    <row r="397" spans="42:43" x14ac:dyDescent="0.25">
      <c r="AP397">
        <v>20</v>
      </c>
      <c r="AQ397" t="s">
        <v>2152</v>
      </c>
    </row>
    <row r="398" spans="42:43" x14ac:dyDescent="0.25">
      <c r="AP398">
        <v>20</v>
      </c>
      <c r="AQ398" t="s">
        <v>2153</v>
      </c>
    </row>
    <row r="399" spans="42:43" x14ac:dyDescent="0.25">
      <c r="AP399">
        <v>20</v>
      </c>
      <c r="AQ399" t="s">
        <v>2154</v>
      </c>
    </row>
    <row r="400" spans="42:43" x14ac:dyDescent="0.25">
      <c r="AP400">
        <v>20</v>
      </c>
      <c r="AQ400" t="s">
        <v>2155</v>
      </c>
    </row>
    <row r="401" spans="42:43" x14ac:dyDescent="0.25">
      <c r="AP401">
        <v>20</v>
      </c>
      <c r="AQ401" t="s">
        <v>2156</v>
      </c>
    </row>
    <row r="402" spans="42:43" x14ac:dyDescent="0.25">
      <c r="AP402">
        <v>20</v>
      </c>
      <c r="AQ402" t="s">
        <v>2157</v>
      </c>
    </row>
    <row r="403" spans="42:43" x14ac:dyDescent="0.25">
      <c r="AP403">
        <v>20</v>
      </c>
      <c r="AQ403" t="s">
        <v>2158</v>
      </c>
    </row>
    <row r="404" spans="42:43" x14ac:dyDescent="0.25">
      <c r="AP404">
        <v>20</v>
      </c>
      <c r="AQ404" t="s">
        <v>2159</v>
      </c>
    </row>
    <row r="405" spans="42:43" x14ac:dyDescent="0.25">
      <c r="AP405">
        <v>20</v>
      </c>
      <c r="AQ405" t="s">
        <v>2160</v>
      </c>
    </row>
    <row r="406" spans="42:43" x14ac:dyDescent="0.25">
      <c r="AP406">
        <v>20</v>
      </c>
      <c r="AQ406" t="s">
        <v>2161</v>
      </c>
    </row>
    <row r="407" spans="42:43" x14ac:dyDescent="0.25">
      <c r="AP407">
        <v>20</v>
      </c>
      <c r="AQ407" t="s">
        <v>2162</v>
      </c>
    </row>
    <row r="408" spans="42:43" x14ac:dyDescent="0.25">
      <c r="AP408">
        <v>20</v>
      </c>
      <c r="AQ408" t="s">
        <v>2163</v>
      </c>
    </row>
    <row r="409" spans="42:43" x14ac:dyDescent="0.25">
      <c r="AP409">
        <v>20</v>
      </c>
      <c r="AQ409" t="s">
        <v>2164</v>
      </c>
    </row>
    <row r="410" spans="42:43" x14ac:dyDescent="0.25">
      <c r="AP410">
        <v>20</v>
      </c>
      <c r="AQ410" t="s">
        <v>2165</v>
      </c>
    </row>
    <row r="411" spans="42:43" x14ac:dyDescent="0.25">
      <c r="AP411">
        <v>20</v>
      </c>
      <c r="AQ411" t="s">
        <v>2166</v>
      </c>
    </row>
    <row r="412" spans="42:43" x14ac:dyDescent="0.25">
      <c r="AP412">
        <v>20</v>
      </c>
      <c r="AQ412" t="s">
        <v>2167</v>
      </c>
    </row>
    <row r="413" spans="42:43" x14ac:dyDescent="0.25">
      <c r="AP413">
        <v>20</v>
      </c>
      <c r="AQ413" t="s">
        <v>2168</v>
      </c>
    </row>
    <row r="414" spans="42:43" x14ac:dyDescent="0.25">
      <c r="AP414">
        <v>20</v>
      </c>
      <c r="AQ414" t="s">
        <v>2169</v>
      </c>
    </row>
    <row r="415" spans="42:43" x14ac:dyDescent="0.25">
      <c r="AP415">
        <v>20</v>
      </c>
      <c r="AQ415" t="s">
        <v>2170</v>
      </c>
    </row>
    <row r="416" spans="42:43" x14ac:dyDescent="0.25">
      <c r="AP416">
        <v>20</v>
      </c>
      <c r="AQ416" t="s">
        <v>2171</v>
      </c>
    </row>
    <row r="417" spans="42:43" x14ac:dyDescent="0.25">
      <c r="AP417">
        <v>20</v>
      </c>
      <c r="AQ417" t="s">
        <v>2172</v>
      </c>
    </row>
    <row r="418" spans="42:43" x14ac:dyDescent="0.25">
      <c r="AP418">
        <v>20</v>
      </c>
      <c r="AQ418" t="s">
        <v>2173</v>
      </c>
    </row>
    <row r="419" spans="42:43" x14ac:dyDescent="0.25">
      <c r="AP419">
        <v>20</v>
      </c>
      <c r="AQ419" t="s">
        <v>2174</v>
      </c>
    </row>
    <row r="420" spans="42:43" x14ac:dyDescent="0.25">
      <c r="AP420">
        <v>20</v>
      </c>
      <c r="AQ420" t="s">
        <v>2175</v>
      </c>
    </row>
    <row r="421" spans="42:43" x14ac:dyDescent="0.25">
      <c r="AP421">
        <v>20</v>
      </c>
      <c r="AQ421" t="s">
        <v>2176</v>
      </c>
    </row>
    <row r="422" spans="42:43" x14ac:dyDescent="0.25">
      <c r="AP422">
        <v>20</v>
      </c>
      <c r="AQ422" t="s">
        <v>2177</v>
      </c>
    </row>
    <row r="423" spans="42:43" x14ac:dyDescent="0.25">
      <c r="AP423">
        <v>20</v>
      </c>
      <c r="AQ423" t="s">
        <v>2178</v>
      </c>
    </row>
    <row r="424" spans="42:43" x14ac:dyDescent="0.25">
      <c r="AP424">
        <v>20</v>
      </c>
      <c r="AQ424" t="s">
        <v>2179</v>
      </c>
    </row>
    <row r="425" spans="42:43" x14ac:dyDescent="0.25">
      <c r="AP425">
        <v>20</v>
      </c>
      <c r="AQ425" t="s">
        <v>2180</v>
      </c>
    </row>
    <row r="426" spans="42:43" x14ac:dyDescent="0.25">
      <c r="AP426">
        <v>20</v>
      </c>
      <c r="AQ426" t="s">
        <v>2181</v>
      </c>
    </row>
    <row r="427" spans="42:43" x14ac:dyDescent="0.25">
      <c r="AP427">
        <v>20</v>
      </c>
      <c r="AQ427" t="s">
        <v>2182</v>
      </c>
    </row>
    <row r="428" spans="42:43" x14ac:dyDescent="0.25">
      <c r="AP428">
        <v>20</v>
      </c>
      <c r="AQ428" t="s">
        <v>2183</v>
      </c>
    </row>
    <row r="429" spans="42:43" x14ac:dyDescent="0.25">
      <c r="AP429">
        <v>20</v>
      </c>
      <c r="AQ429" t="s">
        <v>2184</v>
      </c>
    </row>
    <row r="430" spans="42:43" x14ac:dyDescent="0.25">
      <c r="AP430">
        <v>20</v>
      </c>
      <c r="AQ430" t="s">
        <v>2185</v>
      </c>
    </row>
    <row r="431" spans="42:43" x14ac:dyDescent="0.25">
      <c r="AP431">
        <v>20</v>
      </c>
      <c r="AQ431" t="s">
        <v>2186</v>
      </c>
    </row>
    <row r="432" spans="42:43" x14ac:dyDescent="0.25">
      <c r="AP432">
        <v>20</v>
      </c>
      <c r="AQ432" t="s">
        <v>2187</v>
      </c>
    </row>
    <row r="433" spans="42:43" x14ac:dyDescent="0.25">
      <c r="AP433">
        <v>20</v>
      </c>
      <c r="AQ433" t="s">
        <v>2188</v>
      </c>
    </row>
    <row r="434" spans="42:43" x14ac:dyDescent="0.25">
      <c r="AP434">
        <v>20</v>
      </c>
      <c r="AQ434" t="s">
        <v>2189</v>
      </c>
    </row>
    <row r="435" spans="42:43" x14ac:dyDescent="0.25">
      <c r="AP435">
        <v>20</v>
      </c>
      <c r="AQ435" t="s">
        <v>2190</v>
      </c>
    </row>
    <row r="436" spans="42:43" x14ac:dyDescent="0.25">
      <c r="AP436">
        <v>20</v>
      </c>
      <c r="AQ436" t="s">
        <v>2191</v>
      </c>
    </row>
    <row r="437" spans="42:43" x14ac:dyDescent="0.25">
      <c r="AP437">
        <v>20</v>
      </c>
      <c r="AQ437" t="s">
        <v>2192</v>
      </c>
    </row>
    <row r="438" spans="42:43" x14ac:dyDescent="0.25">
      <c r="AP438">
        <v>20</v>
      </c>
      <c r="AQ438" t="s">
        <v>2193</v>
      </c>
    </row>
    <row r="439" spans="42:43" x14ac:dyDescent="0.25">
      <c r="AP439">
        <v>20</v>
      </c>
      <c r="AQ439" t="s">
        <v>2194</v>
      </c>
    </row>
    <row r="440" spans="42:43" x14ac:dyDescent="0.25">
      <c r="AP440">
        <v>20</v>
      </c>
      <c r="AQ440" t="s">
        <v>2195</v>
      </c>
    </row>
    <row r="441" spans="42:43" x14ac:dyDescent="0.25">
      <c r="AP441">
        <v>20</v>
      </c>
      <c r="AQ441" t="s">
        <v>2196</v>
      </c>
    </row>
    <row r="442" spans="42:43" x14ac:dyDescent="0.25">
      <c r="AP442">
        <v>20</v>
      </c>
      <c r="AQ442" t="s">
        <v>2197</v>
      </c>
    </row>
    <row r="443" spans="42:43" x14ac:dyDescent="0.25">
      <c r="AP443">
        <v>20</v>
      </c>
      <c r="AQ443" t="s">
        <v>2198</v>
      </c>
    </row>
    <row r="444" spans="42:43" x14ac:dyDescent="0.25">
      <c r="AP444">
        <v>20</v>
      </c>
      <c r="AQ444" t="s">
        <v>2199</v>
      </c>
    </row>
    <row r="445" spans="42:43" x14ac:dyDescent="0.25">
      <c r="AP445">
        <v>20</v>
      </c>
      <c r="AQ445" t="s">
        <v>2200</v>
      </c>
    </row>
    <row r="446" spans="42:43" x14ac:dyDescent="0.25">
      <c r="AP446">
        <v>20</v>
      </c>
      <c r="AQ446" t="s">
        <v>2201</v>
      </c>
    </row>
    <row r="447" spans="42:43" x14ac:dyDescent="0.25">
      <c r="AP447">
        <v>20</v>
      </c>
      <c r="AQ447" t="s">
        <v>2202</v>
      </c>
    </row>
    <row r="448" spans="42:43" x14ac:dyDescent="0.25">
      <c r="AP448">
        <v>20</v>
      </c>
      <c r="AQ448" t="s">
        <v>2203</v>
      </c>
    </row>
    <row r="449" spans="42:43" x14ac:dyDescent="0.25">
      <c r="AP449">
        <v>20</v>
      </c>
      <c r="AQ449" t="s">
        <v>2204</v>
      </c>
    </row>
    <row r="450" spans="42:43" x14ac:dyDescent="0.25">
      <c r="AP450">
        <v>20</v>
      </c>
      <c r="AQ450" t="s">
        <v>2205</v>
      </c>
    </row>
    <row r="451" spans="42:43" x14ac:dyDescent="0.25">
      <c r="AP451">
        <v>20</v>
      </c>
      <c r="AQ451" t="s">
        <v>2206</v>
      </c>
    </row>
    <row r="452" spans="42:43" x14ac:dyDescent="0.25">
      <c r="AP452">
        <v>20</v>
      </c>
      <c r="AQ452" t="s">
        <v>2207</v>
      </c>
    </row>
    <row r="453" spans="42:43" x14ac:dyDescent="0.25">
      <c r="AP453">
        <v>20</v>
      </c>
      <c r="AQ453" t="s">
        <v>2208</v>
      </c>
    </row>
    <row r="454" spans="42:43" x14ac:dyDescent="0.25">
      <c r="AP454">
        <v>20</v>
      </c>
      <c r="AQ454" t="s">
        <v>2209</v>
      </c>
    </row>
    <row r="455" spans="42:43" x14ac:dyDescent="0.25">
      <c r="AP455">
        <v>20</v>
      </c>
      <c r="AQ455" t="s">
        <v>2210</v>
      </c>
    </row>
    <row r="456" spans="42:43" x14ac:dyDescent="0.25">
      <c r="AP456">
        <v>20</v>
      </c>
      <c r="AQ456" t="s">
        <v>2211</v>
      </c>
    </row>
    <row r="457" spans="42:43" x14ac:dyDescent="0.25">
      <c r="AP457">
        <v>20</v>
      </c>
      <c r="AQ457" t="s">
        <v>2212</v>
      </c>
    </row>
    <row r="458" spans="42:43" x14ac:dyDescent="0.25">
      <c r="AP458">
        <v>20</v>
      </c>
      <c r="AQ458" t="s">
        <v>2213</v>
      </c>
    </row>
    <row r="459" spans="42:43" x14ac:dyDescent="0.25">
      <c r="AP459">
        <v>20</v>
      </c>
      <c r="AQ459" t="s">
        <v>2214</v>
      </c>
    </row>
    <row r="460" spans="42:43" x14ac:dyDescent="0.25">
      <c r="AP460">
        <v>20</v>
      </c>
      <c r="AQ460" t="s">
        <v>2215</v>
      </c>
    </row>
    <row r="461" spans="42:43" x14ac:dyDescent="0.25">
      <c r="AP461">
        <v>20</v>
      </c>
      <c r="AQ461" t="s">
        <v>2216</v>
      </c>
    </row>
    <row r="462" spans="42:43" x14ac:dyDescent="0.25">
      <c r="AP462">
        <v>20</v>
      </c>
      <c r="AQ462" t="s">
        <v>2217</v>
      </c>
    </row>
    <row r="463" spans="42:43" x14ac:dyDescent="0.25">
      <c r="AP463">
        <v>20</v>
      </c>
      <c r="AQ463" t="s">
        <v>2218</v>
      </c>
    </row>
    <row r="464" spans="42:43" x14ac:dyDescent="0.25">
      <c r="AP464">
        <v>20</v>
      </c>
      <c r="AQ464" t="s">
        <v>2219</v>
      </c>
    </row>
    <row r="465" spans="42:43" x14ac:dyDescent="0.25">
      <c r="AP465">
        <v>20</v>
      </c>
      <c r="AQ465" t="s">
        <v>2220</v>
      </c>
    </row>
    <row r="466" spans="42:43" x14ac:dyDescent="0.25">
      <c r="AP466">
        <v>20</v>
      </c>
      <c r="AQ466" t="s">
        <v>2221</v>
      </c>
    </row>
    <row r="467" spans="42:43" x14ac:dyDescent="0.25">
      <c r="AP467">
        <v>20</v>
      </c>
      <c r="AQ467" t="s">
        <v>2222</v>
      </c>
    </row>
    <row r="468" spans="42:43" x14ac:dyDescent="0.25">
      <c r="AP468">
        <v>20</v>
      </c>
      <c r="AQ468" t="s">
        <v>2223</v>
      </c>
    </row>
    <row r="469" spans="42:43" x14ac:dyDescent="0.25">
      <c r="AP469">
        <v>20</v>
      </c>
      <c r="AQ469" t="s">
        <v>2224</v>
      </c>
    </row>
    <row r="470" spans="42:43" x14ac:dyDescent="0.25">
      <c r="AP470">
        <v>20</v>
      </c>
      <c r="AQ470" t="s">
        <v>2225</v>
      </c>
    </row>
    <row r="471" spans="42:43" x14ac:dyDescent="0.25">
      <c r="AP471">
        <v>20</v>
      </c>
      <c r="AQ471" t="s">
        <v>2226</v>
      </c>
    </row>
    <row r="472" spans="42:43" x14ac:dyDescent="0.25">
      <c r="AP472">
        <v>20</v>
      </c>
      <c r="AQ472" t="s">
        <v>2227</v>
      </c>
    </row>
    <row r="473" spans="42:43" x14ac:dyDescent="0.25">
      <c r="AP473">
        <v>20</v>
      </c>
      <c r="AQ473" t="s">
        <v>2228</v>
      </c>
    </row>
    <row r="474" spans="42:43" x14ac:dyDescent="0.25">
      <c r="AP474">
        <v>20</v>
      </c>
      <c r="AQ474" t="s">
        <v>2229</v>
      </c>
    </row>
    <row r="475" spans="42:43" x14ac:dyDescent="0.25">
      <c r="AP475">
        <v>20</v>
      </c>
      <c r="AQ475" t="s">
        <v>2230</v>
      </c>
    </row>
    <row r="476" spans="42:43" x14ac:dyDescent="0.25">
      <c r="AP476">
        <v>20</v>
      </c>
      <c r="AQ476" t="s">
        <v>2231</v>
      </c>
    </row>
    <row r="477" spans="42:43" x14ac:dyDescent="0.25">
      <c r="AP477">
        <v>20</v>
      </c>
      <c r="AQ477" t="s">
        <v>2232</v>
      </c>
    </row>
    <row r="478" spans="42:43" x14ac:dyDescent="0.25">
      <c r="AP478">
        <v>20</v>
      </c>
      <c r="AQ478" t="s">
        <v>2233</v>
      </c>
    </row>
    <row r="479" spans="42:43" x14ac:dyDescent="0.25">
      <c r="AP479">
        <v>20</v>
      </c>
      <c r="AQ479" t="s">
        <v>2234</v>
      </c>
    </row>
    <row r="480" spans="42:43" x14ac:dyDescent="0.25">
      <c r="AP480">
        <v>20</v>
      </c>
      <c r="AQ480" t="s">
        <v>2235</v>
      </c>
    </row>
    <row r="481" spans="42:43" x14ac:dyDescent="0.25">
      <c r="AP481">
        <v>20</v>
      </c>
      <c r="AQ481" t="s">
        <v>2236</v>
      </c>
    </row>
    <row r="482" spans="42:43" x14ac:dyDescent="0.25">
      <c r="AP482">
        <v>20</v>
      </c>
      <c r="AQ482" t="s">
        <v>2237</v>
      </c>
    </row>
    <row r="483" spans="42:43" x14ac:dyDescent="0.25">
      <c r="AP483">
        <v>20</v>
      </c>
      <c r="AQ483" t="s">
        <v>2238</v>
      </c>
    </row>
    <row r="484" spans="42:43" x14ac:dyDescent="0.25">
      <c r="AP484">
        <v>20</v>
      </c>
      <c r="AQ484" t="s">
        <v>2239</v>
      </c>
    </row>
    <row r="485" spans="42:43" x14ac:dyDescent="0.25">
      <c r="AP485">
        <v>20</v>
      </c>
      <c r="AQ485" t="s">
        <v>2240</v>
      </c>
    </row>
    <row r="486" spans="42:43" x14ac:dyDescent="0.25">
      <c r="AP486">
        <v>20</v>
      </c>
      <c r="AQ486" t="s">
        <v>2241</v>
      </c>
    </row>
    <row r="487" spans="42:43" x14ac:dyDescent="0.25">
      <c r="AP487">
        <v>20</v>
      </c>
      <c r="AQ487" t="s">
        <v>2242</v>
      </c>
    </row>
    <row r="488" spans="42:43" x14ac:dyDescent="0.25">
      <c r="AP488">
        <v>20</v>
      </c>
      <c r="AQ488" t="s">
        <v>2243</v>
      </c>
    </row>
    <row r="489" spans="42:43" x14ac:dyDescent="0.25">
      <c r="AP489">
        <v>20</v>
      </c>
      <c r="AQ489" t="s">
        <v>2244</v>
      </c>
    </row>
    <row r="490" spans="42:43" x14ac:dyDescent="0.25">
      <c r="AP490">
        <v>20</v>
      </c>
      <c r="AQ490" t="s">
        <v>2245</v>
      </c>
    </row>
    <row r="491" spans="42:43" x14ac:dyDescent="0.25">
      <c r="AP491">
        <v>20</v>
      </c>
      <c r="AQ491" t="s">
        <v>2246</v>
      </c>
    </row>
    <row r="492" spans="42:43" x14ac:dyDescent="0.25">
      <c r="AP492">
        <v>20</v>
      </c>
      <c r="AQ492" t="s">
        <v>2247</v>
      </c>
    </row>
    <row r="493" spans="42:43" x14ac:dyDescent="0.25">
      <c r="AP493">
        <v>20</v>
      </c>
      <c r="AQ493" t="s">
        <v>2248</v>
      </c>
    </row>
    <row r="494" spans="42:43" x14ac:dyDescent="0.25">
      <c r="AP494">
        <v>20</v>
      </c>
      <c r="AQ494" t="s">
        <v>2249</v>
      </c>
    </row>
    <row r="495" spans="42:43" x14ac:dyDescent="0.25">
      <c r="AP495">
        <v>20</v>
      </c>
      <c r="AQ495" t="s">
        <v>2250</v>
      </c>
    </row>
    <row r="496" spans="42:43" x14ac:dyDescent="0.25">
      <c r="AP496">
        <v>20</v>
      </c>
      <c r="AQ496" t="s">
        <v>2251</v>
      </c>
    </row>
    <row r="497" spans="42:43" x14ac:dyDescent="0.25">
      <c r="AP497">
        <v>20</v>
      </c>
      <c r="AQ497" t="s">
        <v>2252</v>
      </c>
    </row>
    <row r="498" spans="42:43" x14ac:dyDescent="0.25">
      <c r="AP498">
        <v>20</v>
      </c>
      <c r="AQ498" t="s">
        <v>2253</v>
      </c>
    </row>
    <row r="499" spans="42:43" x14ac:dyDescent="0.25">
      <c r="AP499">
        <v>20</v>
      </c>
      <c r="AQ499" t="s">
        <v>2254</v>
      </c>
    </row>
    <row r="500" spans="42:43" x14ac:dyDescent="0.25">
      <c r="AP500">
        <v>20</v>
      </c>
      <c r="AQ500" t="s">
        <v>2255</v>
      </c>
    </row>
    <row r="501" spans="42:43" x14ac:dyDescent="0.25">
      <c r="AP501">
        <v>20</v>
      </c>
      <c r="AQ501" t="s">
        <v>2256</v>
      </c>
    </row>
    <row r="502" spans="42:43" x14ac:dyDescent="0.25">
      <c r="AP502">
        <v>20</v>
      </c>
      <c r="AQ502" t="s">
        <v>2257</v>
      </c>
    </row>
    <row r="503" spans="42:43" x14ac:dyDescent="0.25">
      <c r="AP503">
        <v>20</v>
      </c>
      <c r="AQ503" t="s">
        <v>2258</v>
      </c>
    </row>
    <row r="504" spans="42:43" x14ac:dyDescent="0.25">
      <c r="AP504">
        <v>20</v>
      </c>
      <c r="AQ504" t="s">
        <v>2259</v>
      </c>
    </row>
    <row r="505" spans="42:43" x14ac:dyDescent="0.25">
      <c r="AP505">
        <v>20</v>
      </c>
      <c r="AQ505" t="s">
        <v>2260</v>
      </c>
    </row>
    <row r="506" spans="42:43" x14ac:dyDescent="0.25">
      <c r="AP506">
        <v>20</v>
      </c>
      <c r="AQ506" t="s">
        <v>2261</v>
      </c>
    </row>
    <row r="507" spans="42:43" x14ac:dyDescent="0.25">
      <c r="AP507">
        <v>20</v>
      </c>
      <c r="AQ507" t="s">
        <v>2262</v>
      </c>
    </row>
    <row r="508" spans="42:43" x14ac:dyDescent="0.25">
      <c r="AP508">
        <v>20</v>
      </c>
      <c r="AQ508" t="s">
        <v>2263</v>
      </c>
    </row>
    <row r="509" spans="42:43" x14ac:dyDescent="0.25">
      <c r="AP509">
        <v>20</v>
      </c>
      <c r="AQ509" t="s">
        <v>2264</v>
      </c>
    </row>
    <row r="510" spans="42:43" x14ac:dyDescent="0.25">
      <c r="AP510">
        <v>20</v>
      </c>
      <c r="AQ510" t="s">
        <v>2265</v>
      </c>
    </row>
    <row r="511" spans="42:43" x14ac:dyDescent="0.25">
      <c r="AP511">
        <v>20</v>
      </c>
      <c r="AQ511" t="s">
        <v>2266</v>
      </c>
    </row>
    <row r="512" spans="42:43" x14ac:dyDescent="0.25">
      <c r="AP512">
        <v>20</v>
      </c>
      <c r="AQ512" t="s">
        <v>2267</v>
      </c>
    </row>
    <row r="513" spans="42:43" x14ac:dyDescent="0.25">
      <c r="AP513">
        <v>20</v>
      </c>
      <c r="AQ513" t="s">
        <v>2268</v>
      </c>
    </row>
    <row r="514" spans="42:43" x14ac:dyDescent="0.25">
      <c r="AP514">
        <v>20</v>
      </c>
      <c r="AQ514" t="s">
        <v>2269</v>
      </c>
    </row>
    <row r="515" spans="42:43" x14ac:dyDescent="0.25">
      <c r="AP515">
        <v>20</v>
      </c>
      <c r="AQ515" t="s">
        <v>2270</v>
      </c>
    </row>
    <row r="516" spans="42:43" x14ac:dyDescent="0.25">
      <c r="AP516">
        <v>20</v>
      </c>
      <c r="AQ516" t="s">
        <v>2271</v>
      </c>
    </row>
    <row r="517" spans="42:43" x14ac:dyDescent="0.25">
      <c r="AP517">
        <v>20</v>
      </c>
      <c r="AQ517" t="s">
        <v>2272</v>
      </c>
    </row>
    <row r="518" spans="42:43" x14ac:dyDescent="0.25">
      <c r="AP518">
        <v>20</v>
      </c>
      <c r="AQ518" t="s">
        <v>2273</v>
      </c>
    </row>
    <row r="519" spans="42:43" x14ac:dyDescent="0.25">
      <c r="AP519">
        <v>20</v>
      </c>
      <c r="AQ519" t="s">
        <v>2274</v>
      </c>
    </row>
    <row r="520" spans="42:43" x14ac:dyDescent="0.25">
      <c r="AP520">
        <v>20</v>
      </c>
      <c r="AQ520" t="s">
        <v>2275</v>
      </c>
    </row>
    <row r="521" spans="42:43" x14ac:dyDescent="0.25">
      <c r="AP521">
        <v>20</v>
      </c>
      <c r="AQ521" t="s">
        <v>2276</v>
      </c>
    </row>
    <row r="522" spans="42:43" x14ac:dyDescent="0.25">
      <c r="AP522">
        <v>20</v>
      </c>
      <c r="AQ522" t="s">
        <v>2277</v>
      </c>
    </row>
    <row r="523" spans="42:43" x14ac:dyDescent="0.25">
      <c r="AP523">
        <v>20</v>
      </c>
      <c r="AQ523" t="s">
        <v>2278</v>
      </c>
    </row>
    <row r="524" spans="42:43" x14ac:dyDescent="0.25">
      <c r="AP524">
        <v>20</v>
      </c>
      <c r="AQ524" t="s">
        <v>2279</v>
      </c>
    </row>
    <row r="525" spans="42:43" x14ac:dyDescent="0.25">
      <c r="AP525">
        <v>20</v>
      </c>
      <c r="AQ525" t="s">
        <v>2280</v>
      </c>
    </row>
    <row r="526" spans="42:43" x14ac:dyDescent="0.25">
      <c r="AP526">
        <v>20</v>
      </c>
      <c r="AQ526" t="s">
        <v>2281</v>
      </c>
    </row>
    <row r="527" spans="42:43" x14ac:dyDescent="0.25">
      <c r="AP527">
        <v>20</v>
      </c>
      <c r="AQ527" t="s">
        <v>2282</v>
      </c>
    </row>
    <row r="528" spans="42:43" x14ac:dyDescent="0.25">
      <c r="AP528">
        <v>20</v>
      </c>
      <c r="AQ528" t="s">
        <v>2283</v>
      </c>
    </row>
    <row r="529" spans="42:43" x14ac:dyDescent="0.25">
      <c r="AP529">
        <v>20</v>
      </c>
      <c r="AQ529" t="s">
        <v>2284</v>
      </c>
    </row>
    <row r="530" spans="42:43" x14ac:dyDescent="0.25">
      <c r="AP530">
        <v>20</v>
      </c>
      <c r="AQ530" t="s">
        <v>2285</v>
      </c>
    </row>
    <row r="531" spans="42:43" x14ac:dyDescent="0.25">
      <c r="AP531">
        <v>20</v>
      </c>
      <c r="AQ531" t="s">
        <v>2286</v>
      </c>
    </row>
    <row r="532" spans="42:43" x14ac:dyDescent="0.25">
      <c r="AP532">
        <v>20</v>
      </c>
      <c r="AQ532" t="s">
        <v>2287</v>
      </c>
    </row>
    <row r="533" spans="42:43" x14ac:dyDescent="0.25">
      <c r="AP533">
        <v>20</v>
      </c>
      <c r="AQ533" t="s">
        <v>2288</v>
      </c>
    </row>
    <row r="534" spans="42:43" x14ac:dyDescent="0.25">
      <c r="AP534">
        <v>20</v>
      </c>
      <c r="AQ534" t="s">
        <v>2289</v>
      </c>
    </row>
    <row r="535" spans="42:43" x14ac:dyDescent="0.25">
      <c r="AP535">
        <v>20</v>
      </c>
      <c r="AQ535" t="s">
        <v>2290</v>
      </c>
    </row>
    <row r="536" spans="42:43" x14ac:dyDescent="0.25">
      <c r="AP536">
        <v>20</v>
      </c>
      <c r="AQ536" t="s">
        <v>2291</v>
      </c>
    </row>
    <row r="537" spans="42:43" x14ac:dyDescent="0.25">
      <c r="AP537">
        <v>20</v>
      </c>
      <c r="AQ537" t="s">
        <v>2292</v>
      </c>
    </row>
    <row r="538" spans="42:43" x14ac:dyDescent="0.25">
      <c r="AP538">
        <v>20</v>
      </c>
      <c r="AQ538" t="s">
        <v>2293</v>
      </c>
    </row>
    <row r="539" spans="42:43" x14ac:dyDescent="0.25">
      <c r="AP539">
        <v>20</v>
      </c>
      <c r="AQ539" t="s">
        <v>2294</v>
      </c>
    </row>
    <row r="540" spans="42:43" x14ac:dyDescent="0.25">
      <c r="AP540">
        <v>20</v>
      </c>
      <c r="AQ540" t="s">
        <v>2295</v>
      </c>
    </row>
    <row r="541" spans="42:43" x14ac:dyDescent="0.25">
      <c r="AP541">
        <v>20</v>
      </c>
      <c r="AQ541" t="s">
        <v>2296</v>
      </c>
    </row>
    <row r="542" spans="42:43" x14ac:dyDescent="0.25">
      <c r="AP542">
        <v>20</v>
      </c>
      <c r="AQ542" t="s">
        <v>2297</v>
      </c>
    </row>
    <row r="543" spans="42:43" x14ac:dyDescent="0.25">
      <c r="AP543">
        <v>20</v>
      </c>
      <c r="AQ543" t="s">
        <v>2298</v>
      </c>
    </row>
    <row r="544" spans="42:43" x14ac:dyDescent="0.25">
      <c r="AP544">
        <v>20</v>
      </c>
      <c r="AQ544" t="s">
        <v>2299</v>
      </c>
    </row>
    <row r="545" spans="42:43" x14ac:dyDescent="0.25">
      <c r="AP545">
        <v>20</v>
      </c>
      <c r="AQ545" t="s">
        <v>2300</v>
      </c>
    </row>
    <row r="546" spans="42:43" x14ac:dyDescent="0.25">
      <c r="AP546">
        <v>20</v>
      </c>
      <c r="AQ546" t="s">
        <v>2301</v>
      </c>
    </row>
    <row r="547" spans="42:43" x14ac:dyDescent="0.25">
      <c r="AP547">
        <v>20</v>
      </c>
      <c r="AQ547" t="s">
        <v>2302</v>
      </c>
    </row>
    <row r="548" spans="42:43" x14ac:dyDescent="0.25">
      <c r="AP548">
        <v>20</v>
      </c>
      <c r="AQ548" t="s">
        <v>2303</v>
      </c>
    </row>
    <row r="549" spans="42:43" x14ac:dyDescent="0.25">
      <c r="AP549">
        <v>20</v>
      </c>
      <c r="AQ549" t="s">
        <v>2304</v>
      </c>
    </row>
    <row r="550" spans="42:43" x14ac:dyDescent="0.25">
      <c r="AP550">
        <v>20</v>
      </c>
      <c r="AQ550" t="s">
        <v>2305</v>
      </c>
    </row>
    <row r="551" spans="42:43" x14ac:dyDescent="0.25">
      <c r="AP551">
        <v>20</v>
      </c>
      <c r="AQ551" t="s">
        <v>2306</v>
      </c>
    </row>
    <row r="552" spans="42:43" x14ac:dyDescent="0.25">
      <c r="AP552">
        <v>20</v>
      </c>
      <c r="AQ552" t="s">
        <v>2307</v>
      </c>
    </row>
    <row r="553" spans="42:43" x14ac:dyDescent="0.25">
      <c r="AP553">
        <v>20</v>
      </c>
      <c r="AQ553" t="s">
        <v>2308</v>
      </c>
    </row>
    <row r="554" spans="42:43" x14ac:dyDescent="0.25">
      <c r="AP554">
        <v>20</v>
      </c>
      <c r="AQ554" t="s">
        <v>2309</v>
      </c>
    </row>
    <row r="555" spans="42:43" x14ac:dyDescent="0.25">
      <c r="AP555">
        <v>20</v>
      </c>
      <c r="AQ555" t="s">
        <v>2310</v>
      </c>
    </row>
    <row r="556" spans="42:43" x14ac:dyDescent="0.25">
      <c r="AP556">
        <v>20</v>
      </c>
      <c r="AQ556" t="s">
        <v>2311</v>
      </c>
    </row>
    <row r="557" spans="42:43" x14ac:dyDescent="0.25">
      <c r="AP557">
        <v>20</v>
      </c>
      <c r="AQ557" t="s">
        <v>2312</v>
      </c>
    </row>
    <row r="558" spans="42:43" x14ac:dyDescent="0.25">
      <c r="AP558">
        <v>20</v>
      </c>
      <c r="AQ558" t="s">
        <v>2313</v>
      </c>
    </row>
    <row r="559" spans="42:43" x14ac:dyDescent="0.25">
      <c r="AP559">
        <v>20</v>
      </c>
      <c r="AQ559" t="s">
        <v>2314</v>
      </c>
    </row>
    <row r="560" spans="42:43" x14ac:dyDescent="0.25">
      <c r="AP560">
        <v>20</v>
      </c>
      <c r="AQ560" t="s">
        <v>2315</v>
      </c>
    </row>
    <row r="561" spans="42:43" x14ac:dyDescent="0.25">
      <c r="AP561">
        <v>20</v>
      </c>
      <c r="AQ561" t="s">
        <v>2316</v>
      </c>
    </row>
    <row r="562" spans="42:43" x14ac:dyDescent="0.25">
      <c r="AP562">
        <v>20</v>
      </c>
      <c r="AQ562" t="s">
        <v>2317</v>
      </c>
    </row>
    <row r="563" spans="42:43" x14ac:dyDescent="0.25">
      <c r="AP563">
        <v>20</v>
      </c>
      <c r="AQ563" t="s">
        <v>1437</v>
      </c>
    </row>
    <row r="564" spans="42:43" x14ac:dyDescent="0.25">
      <c r="AP564">
        <v>20</v>
      </c>
      <c r="AQ564" t="s">
        <v>2318</v>
      </c>
    </row>
    <row r="565" spans="42:43" x14ac:dyDescent="0.25">
      <c r="AP565">
        <v>20</v>
      </c>
      <c r="AQ565" t="s">
        <v>2319</v>
      </c>
    </row>
    <row r="566" spans="42:43" x14ac:dyDescent="0.25">
      <c r="AP566">
        <v>20</v>
      </c>
      <c r="AQ566" t="s">
        <v>2320</v>
      </c>
    </row>
    <row r="567" spans="42:43" x14ac:dyDescent="0.25">
      <c r="AP567">
        <v>20</v>
      </c>
      <c r="AQ567" t="s">
        <v>2321</v>
      </c>
    </row>
    <row r="568" spans="42:43" x14ac:dyDescent="0.25">
      <c r="AP568">
        <v>20</v>
      </c>
      <c r="AQ568" t="s">
        <v>2322</v>
      </c>
    </row>
    <row r="569" spans="42:43" x14ac:dyDescent="0.25">
      <c r="AP569">
        <v>20</v>
      </c>
      <c r="AQ569" t="s">
        <v>2323</v>
      </c>
    </row>
    <row r="570" spans="42:43" x14ac:dyDescent="0.25">
      <c r="AP570">
        <v>20</v>
      </c>
      <c r="AQ570" t="s">
        <v>2324</v>
      </c>
    </row>
    <row r="571" spans="42:43" x14ac:dyDescent="0.25">
      <c r="AP571">
        <v>20</v>
      </c>
      <c r="AQ571" t="s">
        <v>2325</v>
      </c>
    </row>
    <row r="572" spans="42:43" x14ac:dyDescent="0.25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showGridLines="0" zoomScale="90" zoomScaleNormal="90" workbookViewId="0">
      <selection sqref="A1:XFD1048576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1" customFormat="1" ht="37.5" customHeight="1" x14ac:dyDescent="0.25">
      <c r="A1" s="197" t="s">
        <v>537</v>
      </c>
      <c r="B1" s="197"/>
      <c r="C1" s="197"/>
      <c r="D1" s="197"/>
      <c r="E1" s="197"/>
      <c r="F1" s="197"/>
    </row>
    <row r="2" spans="1:6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7"/>
    </row>
    <row r="3" spans="1:6" x14ac:dyDescent="0.25">
      <c r="A3" s="188" t="s">
        <v>117</v>
      </c>
      <c r="B3" s="189"/>
      <c r="C3" s="189"/>
      <c r="D3" s="189"/>
      <c r="E3" s="189"/>
      <c r="F3" s="190"/>
    </row>
    <row r="4" spans="1:6" x14ac:dyDescent="0.25">
      <c r="A4" s="191" t="str">
        <f>PERIODO_INFORME</f>
        <v>Al 31 de diciembre de 2016 y al 31 de diciembre de 2017 (b)</v>
      </c>
      <c r="B4" s="192"/>
      <c r="C4" s="192"/>
      <c r="D4" s="192"/>
      <c r="E4" s="192"/>
      <c r="F4" s="193"/>
    </row>
    <row r="5" spans="1:6" x14ac:dyDescent="0.25">
      <c r="A5" s="194" t="s">
        <v>118</v>
      </c>
      <c r="B5" s="195"/>
      <c r="C5" s="195"/>
      <c r="D5" s="195"/>
      <c r="E5" s="195"/>
      <c r="F5" s="196"/>
    </row>
    <row r="6" spans="1:6" s="3" customFormat="1" ht="30" x14ac:dyDescent="0.25">
      <c r="A6" s="121" t="s">
        <v>3276</v>
      </c>
      <c r="B6" s="122" t="str">
        <f>ANIO</f>
        <v>2017 (d)</v>
      </c>
      <c r="C6" s="119" t="str">
        <f>ULTIMO</f>
        <v>31 de diciembre de 2016 (e)</v>
      </c>
      <c r="D6" s="123" t="s">
        <v>0</v>
      </c>
      <c r="E6" s="122" t="str">
        <f>ANIO</f>
        <v>2017 (d)</v>
      </c>
      <c r="F6" s="119" t="str">
        <f>ULTIMO</f>
        <v>31 de diciembre de 2016 (e)</v>
      </c>
    </row>
    <row r="7" spans="1:6" x14ac:dyDescent="0.25">
      <c r="A7" s="85" t="s">
        <v>1</v>
      </c>
      <c r="B7" s="78"/>
      <c r="C7" s="78"/>
      <c r="D7" s="89" t="s">
        <v>52</v>
      </c>
      <c r="E7" s="78"/>
      <c r="F7" s="78"/>
    </row>
    <row r="8" spans="1:6" x14ac:dyDescent="0.25">
      <c r="A8" s="37" t="s">
        <v>2</v>
      </c>
      <c r="B8" s="52"/>
      <c r="C8" s="52"/>
      <c r="D8" s="90" t="s">
        <v>53</v>
      </c>
      <c r="E8" s="52"/>
      <c r="F8" s="52"/>
    </row>
    <row r="9" spans="1:6" x14ac:dyDescent="0.25">
      <c r="A9" s="86" t="s">
        <v>3</v>
      </c>
      <c r="B9" s="137">
        <f>SUM(B10:B16)</f>
        <v>172793943.24000001</v>
      </c>
      <c r="C9" s="137">
        <f>SUM(C10:C16)</f>
        <v>101802436.01000001</v>
      </c>
      <c r="D9" s="91" t="s">
        <v>54</v>
      </c>
      <c r="E9" s="137">
        <f>SUM(E10:E18)</f>
        <v>47374206.619999997</v>
      </c>
      <c r="F9" s="137">
        <f>SUM(F10:F18)</f>
        <v>29018839.769999996</v>
      </c>
    </row>
    <row r="10" spans="1:6" x14ac:dyDescent="0.25">
      <c r="A10" s="87" t="s">
        <v>4</v>
      </c>
      <c r="B10" s="136">
        <v>0</v>
      </c>
      <c r="C10" s="136">
        <v>0</v>
      </c>
      <c r="D10" s="92" t="s">
        <v>55</v>
      </c>
      <c r="E10" s="136">
        <v>1134319.7</v>
      </c>
      <c r="F10" s="136">
        <v>714666.47</v>
      </c>
    </row>
    <row r="11" spans="1:6" x14ac:dyDescent="0.25">
      <c r="A11" s="87" t="s">
        <v>5</v>
      </c>
      <c r="B11" s="136">
        <v>13747463.57</v>
      </c>
      <c r="C11" s="136">
        <v>8239927.8399999999</v>
      </c>
      <c r="D11" s="92" t="s">
        <v>56</v>
      </c>
      <c r="E11" s="136">
        <v>15652629.75</v>
      </c>
      <c r="F11" s="136">
        <v>4135740.92</v>
      </c>
    </row>
    <row r="12" spans="1:6" x14ac:dyDescent="0.25">
      <c r="A12" s="87" t="s">
        <v>6</v>
      </c>
      <c r="B12" s="136">
        <v>0</v>
      </c>
      <c r="C12" s="136">
        <v>0</v>
      </c>
      <c r="D12" s="92" t="s">
        <v>57</v>
      </c>
      <c r="E12" s="136">
        <v>22345214.309999999</v>
      </c>
      <c r="F12" s="136">
        <v>14878981.26</v>
      </c>
    </row>
    <row r="13" spans="1:6" x14ac:dyDescent="0.25">
      <c r="A13" s="87" t="s">
        <v>7</v>
      </c>
      <c r="B13" s="136">
        <v>119652802.16</v>
      </c>
      <c r="C13" s="136">
        <v>70848860.109999999</v>
      </c>
      <c r="D13" s="92" t="s">
        <v>58</v>
      </c>
      <c r="E13" s="136">
        <v>0</v>
      </c>
      <c r="F13" s="136">
        <v>0</v>
      </c>
    </row>
    <row r="14" spans="1:6" x14ac:dyDescent="0.25">
      <c r="A14" s="87" t="s">
        <v>8</v>
      </c>
      <c r="B14" s="136">
        <v>39018233.020000003</v>
      </c>
      <c r="C14" s="136">
        <v>22288220.02</v>
      </c>
      <c r="D14" s="92" t="s">
        <v>59</v>
      </c>
      <c r="E14" s="136">
        <v>327405.33</v>
      </c>
      <c r="F14" s="136">
        <v>84982.74</v>
      </c>
    </row>
    <row r="15" spans="1:6" x14ac:dyDescent="0.25">
      <c r="A15" s="87" t="s">
        <v>9</v>
      </c>
      <c r="B15" s="136">
        <v>375444.49</v>
      </c>
      <c r="C15" s="136">
        <v>425428.04</v>
      </c>
      <c r="D15" s="92" t="s">
        <v>60</v>
      </c>
      <c r="E15" s="136">
        <v>0</v>
      </c>
      <c r="F15" s="136">
        <v>0</v>
      </c>
    </row>
    <row r="16" spans="1:6" x14ac:dyDescent="0.25">
      <c r="A16" s="87" t="s">
        <v>10</v>
      </c>
      <c r="B16" s="136">
        <v>0</v>
      </c>
      <c r="C16" s="136">
        <v>0</v>
      </c>
      <c r="D16" s="92" t="s">
        <v>61</v>
      </c>
      <c r="E16" s="136">
        <v>6300258.4100000001</v>
      </c>
      <c r="F16" s="136">
        <v>5053524.71</v>
      </c>
    </row>
    <row r="17" spans="1:6" x14ac:dyDescent="0.25">
      <c r="A17" s="86" t="s">
        <v>11</v>
      </c>
      <c r="B17" s="137">
        <f>SUM(B18:B24)</f>
        <v>28085402.789999999</v>
      </c>
      <c r="C17" s="137">
        <f>SUM(C18:C24)</f>
        <v>13835017.290000001</v>
      </c>
      <c r="D17" s="92" t="s">
        <v>62</v>
      </c>
      <c r="E17" s="136">
        <v>0</v>
      </c>
      <c r="F17" s="136">
        <v>0</v>
      </c>
    </row>
    <row r="18" spans="1:6" x14ac:dyDescent="0.25">
      <c r="A18" s="88" t="s">
        <v>12</v>
      </c>
      <c r="B18" s="136">
        <v>0</v>
      </c>
      <c r="C18" s="136">
        <v>0</v>
      </c>
      <c r="D18" s="92" t="s">
        <v>63</v>
      </c>
      <c r="E18" s="136">
        <v>1614379.12</v>
      </c>
      <c r="F18" s="136">
        <v>4150943.67</v>
      </c>
    </row>
    <row r="19" spans="1:6" x14ac:dyDescent="0.25">
      <c r="A19" s="88" t="s">
        <v>13</v>
      </c>
      <c r="B19" s="136">
        <v>944512.65</v>
      </c>
      <c r="C19" s="136">
        <v>935747.47</v>
      </c>
      <c r="D19" s="91" t="s">
        <v>64</v>
      </c>
      <c r="E19" s="136">
        <v>0</v>
      </c>
      <c r="F19" s="136">
        <v>0</v>
      </c>
    </row>
    <row r="20" spans="1:6" x14ac:dyDescent="0.25">
      <c r="A20" s="88" t="s">
        <v>14</v>
      </c>
      <c r="B20" s="136">
        <v>435000.39</v>
      </c>
      <c r="C20" s="136">
        <v>347530.93</v>
      </c>
      <c r="D20" s="92" t="s">
        <v>65</v>
      </c>
      <c r="E20" s="136">
        <v>0</v>
      </c>
      <c r="F20" s="136">
        <v>0</v>
      </c>
    </row>
    <row r="21" spans="1:6" x14ac:dyDescent="0.25">
      <c r="A21" s="88" t="s">
        <v>15</v>
      </c>
      <c r="B21" s="136">
        <v>0</v>
      </c>
      <c r="C21" s="136">
        <v>0</v>
      </c>
      <c r="D21" s="92" t="s">
        <v>66</v>
      </c>
      <c r="E21" s="136">
        <v>0</v>
      </c>
      <c r="F21" s="136">
        <v>0</v>
      </c>
    </row>
    <row r="22" spans="1:6" x14ac:dyDescent="0.25">
      <c r="A22" s="88" t="s">
        <v>16</v>
      </c>
      <c r="B22" s="136">
        <v>170000</v>
      </c>
      <c r="C22" s="136">
        <v>155000</v>
      </c>
      <c r="D22" s="92" t="s">
        <v>67</v>
      </c>
      <c r="E22" s="136">
        <v>0</v>
      </c>
      <c r="F22" s="136">
        <v>0</v>
      </c>
    </row>
    <row r="23" spans="1:6" x14ac:dyDescent="0.25">
      <c r="A23" s="88" t="s">
        <v>17</v>
      </c>
      <c r="B23" s="136">
        <v>0</v>
      </c>
      <c r="C23" s="136">
        <v>0</v>
      </c>
      <c r="D23" s="91" t="s">
        <v>68</v>
      </c>
      <c r="E23" s="136">
        <v>0</v>
      </c>
      <c r="F23" s="137">
        <f>F24+F25</f>
        <v>7.51</v>
      </c>
    </row>
    <row r="24" spans="1:6" x14ac:dyDescent="0.25">
      <c r="A24" s="88" t="s">
        <v>18</v>
      </c>
      <c r="B24" s="136">
        <v>26535889.75</v>
      </c>
      <c r="C24" s="136">
        <v>12396738.890000001</v>
      </c>
      <c r="D24" s="92" t="s">
        <v>69</v>
      </c>
      <c r="E24" s="136">
        <v>0</v>
      </c>
      <c r="F24" s="136">
        <v>7.51</v>
      </c>
    </row>
    <row r="25" spans="1:6" x14ac:dyDescent="0.25">
      <c r="A25" s="86" t="s">
        <v>19</v>
      </c>
      <c r="B25" s="137">
        <f>SUM(B26:B30)</f>
        <v>30300373</v>
      </c>
      <c r="C25" s="137">
        <f>SUM(C26:C30)</f>
        <v>22268797.52</v>
      </c>
      <c r="D25" s="92" t="s">
        <v>70</v>
      </c>
      <c r="E25" s="136">
        <v>0</v>
      </c>
      <c r="F25" s="136">
        <v>0</v>
      </c>
    </row>
    <row r="26" spans="1:6" x14ac:dyDescent="0.25">
      <c r="A26" s="88" t="s">
        <v>20</v>
      </c>
      <c r="B26" s="136">
        <v>134413.88</v>
      </c>
      <c r="C26" s="136">
        <v>37256</v>
      </c>
      <c r="D26" s="91" t="s">
        <v>71</v>
      </c>
      <c r="E26" s="136">
        <v>0</v>
      </c>
      <c r="F26" s="136">
        <v>0</v>
      </c>
    </row>
    <row r="27" spans="1:6" x14ac:dyDescent="0.25">
      <c r="A27" s="88" t="s">
        <v>21</v>
      </c>
      <c r="B27" s="136">
        <v>2497500</v>
      </c>
      <c r="C27" s="136">
        <v>0</v>
      </c>
      <c r="D27" s="91" t="s">
        <v>72</v>
      </c>
      <c r="E27" s="136">
        <v>0</v>
      </c>
      <c r="F27" s="136">
        <v>0</v>
      </c>
    </row>
    <row r="28" spans="1:6" x14ac:dyDescent="0.25">
      <c r="A28" s="88" t="s">
        <v>22</v>
      </c>
      <c r="B28" s="136">
        <v>0</v>
      </c>
      <c r="C28" s="136">
        <v>0</v>
      </c>
      <c r="D28" s="92" t="s">
        <v>73</v>
      </c>
      <c r="E28" s="136">
        <v>0</v>
      </c>
      <c r="F28" s="136">
        <v>0</v>
      </c>
    </row>
    <row r="29" spans="1:6" x14ac:dyDescent="0.25">
      <c r="A29" s="88" t="s">
        <v>23</v>
      </c>
      <c r="B29" s="136">
        <v>27668459.120000001</v>
      </c>
      <c r="C29" s="136">
        <v>22231541.52</v>
      </c>
      <c r="D29" s="92" t="s">
        <v>74</v>
      </c>
      <c r="E29" s="136">
        <v>0</v>
      </c>
      <c r="F29" s="136">
        <v>0</v>
      </c>
    </row>
    <row r="30" spans="1:6" x14ac:dyDescent="0.25">
      <c r="A30" s="88" t="s">
        <v>24</v>
      </c>
      <c r="B30" s="136">
        <v>0</v>
      </c>
      <c r="C30" s="136">
        <v>0</v>
      </c>
      <c r="D30" s="92" t="s">
        <v>75</v>
      </c>
      <c r="E30" s="136">
        <v>0</v>
      </c>
      <c r="F30" s="136">
        <v>0</v>
      </c>
    </row>
    <row r="31" spans="1:6" x14ac:dyDescent="0.25">
      <c r="A31" s="86" t="s">
        <v>25</v>
      </c>
      <c r="B31" s="136">
        <v>0</v>
      </c>
      <c r="C31" s="136">
        <v>0</v>
      </c>
      <c r="D31" s="91" t="s">
        <v>76</v>
      </c>
      <c r="E31" s="136">
        <v>0</v>
      </c>
      <c r="F31" s="136">
        <v>0</v>
      </c>
    </row>
    <row r="32" spans="1:6" x14ac:dyDescent="0.25">
      <c r="A32" s="88" t="s">
        <v>26</v>
      </c>
      <c r="B32" s="136">
        <v>0</v>
      </c>
      <c r="C32" s="136">
        <v>0</v>
      </c>
      <c r="D32" s="92" t="s">
        <v>77</v>
      </c>
      <c r="E32" s="136">
        <v>0</v>
      </c>
      <c r="F32" s="136">
        <v>0</v>
      </c>
    </row>
    <row r="33" spans="1:6" x14ac:dyDescent="0.25">
      <c r="A33" s="88" t="s">
        <v>27</v>
      </c>
      <c r="B33" s="136">
        <v>0</v>
      </c>
      <c r="C33" s="136">
        <v>0</v>
      </c>
      <c r="D33" s="92" t="s">
        <v>78</v>
      </c>
      <c r="E33" s="136">
        <v>0</v>
      </c>
      <c r="F33" s="136">
        <v>0</v>
      </c>
    </row>
    <row r="34" spans="1:6" x14ac:dyDescent="0.25">
      <c r="A34" s="88" t="s">
        <v>28</v>
      </c>
      <c r="B34" s="136">
        <v>0</v>
      </c>
      <c r="C34" s="136">
        <v>0</v>
      </c>
      <c r="D34" s="92" t="s">
        <v>79</v>
      </c>
      <c r="E34" s="136">
        <v>0</v>
      </c>
      <c r="F34" s="136">
        <v>0</v>
      </c>
    </row>
    <row r="35" spans="1:6" x14ac:dyDescent="0.25">
      <c r="A35" s="88" t="s">
        <v>29</v>
      </c>
      <c r="B35" s="136">
        <v>0</v>
      </c>
      <c r="C35" s="136">
        <v>0</v>
      </c>
      <c r="D35" s="92" t="s">
        <v>80</v>
      </c>
      <c r="E35" s="136">
        <v>0</v>
      </c>
      <c r="F35" s="136">
        <v>0</v>
      </c>
    </row>
    <row r="36" spans="1:6" x14ac:dyDescent="0.25">
      <c r="A36" s="88" t="s">
        <v>30</v>
      </c>
      <c r="B36" s="136">
        <v>0</v>
      </c>
      <c r="C36" s="136">
        <v>0</v>
      </c>
      <c r="D36" s="92" t="s">
        <v>81</v>
      </c>
      <c r="E36" s="136">
        <v>0</v>
      </c>
      <c r="F36" s="136">
        <v>0</v>
      </c>
    </row>
    <row r="37" spans="1:6" x14ac:dyDescent="0.25">
      <c r="A37" s="86" t="s">
        <v>31</v>
      </c>
      <c r="B37" s="136">
        <v>0</v>
      </c>
      <c r="C37" s="136">
        <v>0</v>
      </c>
      <c r="D37" s="92" t="s">
        <v>82</v>
      </c>
      <c r="E37" s="136">
        <v>0</v>
      </c>
      <c r="F37" s="136">
        <v>0</v>
      </c>
    </row>
    <row r="38" spans="1:6" x14ac:dyDescent="0.25">
      <c r="A38" s="86" t="s">
        <v>119</v>
      </c>
      <c r="B38" s="136">
        <v>0</v>
      </c>
      <c r="C38" s="136">
        <v>0</v>
      </c>
      <c r="D38" s="91" t="s">
        <v>83</v>
      </c>
      <c r="E38" s="136">
        <v>0</v>
      </c>
      <c r="F38" s="136">
        <v>0</v>
      </c>
    </row>
    <row r="39" spans="1:6" x14ac:dyDescent="0.25">
      <c r="A39" s="88" t="s">
        <v>32</v>
      </c>
      <c r="B39" s="136">
        <v>0</v>
      </c>
      <c r="C39" s="136">
        <v>0</v>
      </c>
      <c r="D39" s="92" t="s">
        <v>84</v>
      </c>
      <c r="E39" s="136">
        <v>0</v>
      </c>
      <c r="F39" s="136">
        <v>0</v>
      </c>
    </row>
    <row r="40" spans="1:6" x14ac:dyDescent="0.25">
      <c r="A40" s="88" t="s">
        <v>33</v>
      </c>
      <c r="B40" s="136">
        <v>0</v>
      </c>
      <c r="C40" s="136">
        <v>0</v>
      </c>
      <c r="D40" s="92" t="s">
        <v>85</v>
      </c>
      <c r="E40" s="136">
        <v>0</v>
      </c>
      <c r="F40" s="136">
        <v>0</v>
      </c>
    </row>
    <row r="41" spans="1:6" x14ac:dyDescent="0.25">
      <c r="A41" s="86" t="s">
        <v>34</v>
      </c>
      <c r="B41" s="136">
        <v>0</v>
      </c>
      <c r="C41" s="136">
        <v>0</v>
      </c>
      <c r="D41" s="92" t="s">
        <v>86</v>
      </c>
      <c r="E41" s="136">
        <v>0</v>
      </c>
      <c r="F41" s="136">
        <v>0</v>
      </c>
    </row>
    <row r="42" spans="1:6" x14ac:dyDescent="0.25">
      <c r="A42" s="88" t="s">
        <v>35</v>
      </c>
      <c r="B42" s="136">
        <v>0</v>
      </c>
      <c r="C42" s="136">
        <v>0</v>
      </c>
      <c r="D42" s="91" t="s">
        <v>87</v>
      </c>
      <c r="E42" s="136">
        <v>0</v>
      </c>
      <c r="F42" s="136">
        <v>0</v>
      </c>
    </row>
    <row r="43" spans="1:6" x14ac:dyDescent="0.25">
      <c r="A43" s="88" t="s">
        <v>36</v>
      </c>
      <c r="B43" s="136">
        <v>0</v>
      </c>
      <c r="C43" s="136">
        <v>0</v>
      </c>
      <c r="D43" s="92" t="s">
        <v>88</v>
      </c>
      <c r="E43" s="136">
        <v>0</v>
      </c>
      <c r="F43" s="136">
        <v>0</v>
      </c>
    </row>
    <row r="44" spans="1:6" x14ac:dyDescent="0.25">
      <c r="A44" s="88" t="s">
        <v>37</v>
      </c>
      <c r="B44" s="136">
        <v>0</v>
      </c>
      <c r="C44" s="136">
        <v>0</v>
      </c>
      <c r="D44" s="92" t="s">
        <v>89</v>
      </c>
      <c r="E44" s="136">
        <v>0</v>
      </c>
      <c r="F44" s="136">
        <v>0</v>
      </c>
    </row>
    <row r="45" spans="1:6" x14ac:dyDescent="0.25">
      <c r="A45" s="88" t="s">
        <v>38</v>
      </c>
      <c r="B45" s="136">
        <v>0</v>
      </c>
      <c r="C45" s="136">
        <v>0</v>
      </c>
      <c r="D45" s="92" t="s">
        <v>90</v>
      </c>
      <c r="E45" s="136">
        <v>0</v>
      </c>
      <c r="F45" s="136">
        <v>0</v>
      </c>
    </row>
    <row r="46" spans="1:6" x14ac:dyDescent="0.25">
      <c r="A46" s="52"/>
      <c r="B46" s="52"/>
      <c r="C46" s="52"/>
      <c r="D46" s="52"/>
      <c r="E46" s="52"/>
      <c r="F46" s="52"/>
    </row>
    <row r="47" spans="1:6" x14ac:dyDescent="0.25">
      <c r="A47" s="53" t="s">
        <v>39</v>
      </c>
      <c r="B47" s="139">
        <f>B9+B17+B25+B31+B38+B41</f>
        <v>231179719.03</v>
      </c>
      <c r="C47" s="139">
        <f>C9+C17+C25+C31+C38+C41</f>
        <v>137906250.82000002</v>
      </c>
      <c r="D47" s="90" t="s">
        <v>91</v>
      </c>
      <c r="E47" s="139">
        <f>E9+E19+E23+E26+E27+E31+E38+E42</f>
        <v>47374206.619999997</v>
      </c>
      <c r="F47" s="139">
        <f>F9+F19+F23+F26+F27+F31+F38+F42</f>
        <v>29018847.279999997</v>
      </c>
    </row>
    <row r="48" spans="1:6" x14ac:dyDescent="0.25">
      <c r="A48" s="52"/>
      <c r="B48" s="52"/>
      <c r="C48" s="52"/>
      <c r="D48" s="52"/>
      <c r="E48" s="52"/>
      <c r="F48" s="52"/>
    </row>
    <row r="49" spans="1:6" x14ac:dyDescent="0.25">
      <c r="A49" s="37" t="s">
        <v>40</v>
      </c>
      <c r="B49" s="52"/>
      <c r="C49" s="52"/>
      <c r="D49" s="90" t="s">
        <v>92</v>
      </c>
      <c r="E49" s="52"/>
      <c r="F49" s="52"/>
    </row>
    <row r="50" spans="1:6" x14ac:dyDescent="0.25">
      <c r="A50" s="86" t="s">
        <v>41</v>
      </c>
      <c r="B50" s="136">
        <v>0</v>
      </c>
      <c r="C50" s="136">
        <v>0</v>
      </c>
      <c r="D50" s="91" t="s">
        <v>93</v>
      </c>
      <c r="E50" s="136">
        <v>0</v>
      </c>
      <c r="F50" s="136">
        <v>0</v>
      </c>
    </row>
    <row r="51" spans="1:6" x14ac:dyDescent="0.25">
      <c r="A51" s="86" t="s">
        <v>42</v>
      </c>
      <c r="B51" s="136">
        <v>0</v>
      </c>
      <c r="C51" s="136">
        <v>0</v>
      </c>
      <c r="D51" s="91" t="s">
        <v>94</v>
      </c>
      <c r="E51" s="136">
        <v>0</v>
      </c>
      <c r="F51" s="136">
        <v>0</v>
      </c>
    </row>
    <row r="52" spans="1:6" x14ac:dyDescent="0.25">
      <c r="A52" s="86" t="s">
        <v>43</v>
      </c>
      <c r="B52" s="136">
        <v>94067197.129999995</v>
      </c>
      <c r="C52" s="136">
        <v>66247012.68</v>
      </c>
      <c r="D52" s="91" t="s">
        <v>95</v>
      </c>
      <c r="E52" s="136">
        <v>923411.22</v>
      </c>
      <c r="F52" s="136">
        <v>4502106.55</v>
      </c>
    </row>
    <row r="53" spans="1:6" x14ac:dyDescent="0.25">
      <c r="A53" s="86" t="s">
        <v>44</v>
      </c>
      <c r="B53" s="136">
        <v>69922657.319999993</v>
      </c>
      <c r="C53" s="136">
        <v>57740680.829999998</v>
      </c>
      <c r="D53" s="91" t="s">
        <v>96</v>
      </c>
      <c r="E53" s="136">
        <v>0</v>
      </c>
      <c r="F53" s="136">
        <v>0</v>
      </c>
    </row>
    <row r="54" spans="1:6" x14ac:dyDescent="0.25">
      <c r="A54" s="86" t="s">
        <v>45</v>
      </c>
      <c r="B54" s="136">
        <v>109817.91</v>
      </c>
      <c r="C54" s="136">
        <v>54601.91</v>
      </c>
      <c r="D54" s="91" t="s">
        <v>97</v>
      </c>
      <c r="E54" s="136">
        <v>0</v>
      </c>
      <c r="F54" s="136">
        <v>0</v>
      </c>
    </row>
    <row r="55" spans="1:6" x14ac:dyDescent="0.25">
      <c r="A55" s="86" t="s">
        <v>46</v>
      </c>
      <c r="B55" s="136">
        <v>-26047020.440000001</v>
      </c>
      <c r="C55" s="136">
        <v>-18480236.030000001</v>
      </c>
      <c r="D55" s="36" t="s">
        <v>98</v>
      </c>
      <c r="E55" s="136">
        <v>0</v>
      </c>
      <c r="F55" s="136">
        <v>0</v>
      </c>
    </row>
    <row r="56" spans="1:6" x14ac:dyDescent="0.25">
      <c r="A56" s="86" t="s">
        <v>47</v>
      </c>
      <c r="B56" s="136">
        <v>777794.22</v>
      </c>
      <c r="C56" s="136">
        <v>442478.7</v>
      </c>
      <c r="D56" s="52"/>
      <c r="E56" s="52"/>
      <c r="F56" s="52"/>
    </row>
    <row r="57" spans="1:6" x14ac:dyDescent="0.25">
      <c r="A57" s="86" t="s">
        <v>48</v>
      </c>
      <c r="B57" s="136">
        <v>0</v>
      </c>
      <c r="C57" s="136">
        <v>0</v>
      </c>
      <c r="D57" s="90" t="s">
        <v>99</v>
      </c>
      <c r="E57" s="139">
        <f>SUM(E50:E55)</f>
        <v>923411.22</v>
      </c>
      <c r="F57" s="139">
        <f>SUM(F50:F55)</f>
        <v>4502106.55</v>
      </c>
    </row>
    <row r="58" spans="1:6" x14ac:dyDescent="0.25">
      <c r="A58" s="86" t="s">
        <v>49</v>
      </c>
      <c r="B58" s="136">
        <v>0</v>
      </c>
      <c r="C58" s="136">
        <v>0</v>
      </c>
      <c r="D58" s="52"/>
      <c r="E58" s="52"/>
      <c r="F58" s="52"/>
    </row>
    <row r="59" spans="1:6" x14ac:dyDescent="0.25">
      <c r="A59" s="52"/>
      <c r="B59" s="52"/>
      <c r="C59" s="52"/>
      <c r="D59" s="90" t="s">
        <v>100</v>
      </c>
      <c r="E59" s="139">
        <f>E47+E57</f>
        <v>48297617.839999996</v>
      </c>
      <c r="F59" s="139">
        <f>F47+F57</f>
        <v>33520953.829999998</v>
      </c>
    </row>
    <row r="60" spans="1:6" x14ac:dyDescent="0.25">
      <c r="A60" s="53" t="s">
        <v>50</v>
      </c>
      <c r="B60" s="139">
        <f>SUM(B50:B58)</f>
        <v>138830446.13999999</v>
      </c>
      <c r="C60" s="139">
        <f>SUM(C50:C58)</f>
        <v>106004538.08999999</v>
      </c>
      <c r="D60" s="52"/>
      <c r="E60" s="52"/>
      <c r="F60" s="52"/>
    </row>
    <row r="61" spans="1:6" x14ac:dyDescent="0.25">
      <c r="A61" s="52"/>
      <c r="B61" s="52"/>
      <c r="C61" s="52"/>
      <c r="D61" s="38" t="s">
        <v>101</v>
      </c>
      <c r="E61" s="84"/>
      <c r="F61" s="84"/>
    </row>
    <row r="62" spans="1:6" x14ac:dyDescent="0.25">
      <c r="A62" s="53" t="s">
        <v>51</v>
      </c>
      <c r="B62" s="139">
        <f>SUM(B47+B60)</f>
        <v>370010165.16999996</v>
      </c>
      <c r="C62" s="139">
        <f>SUM(C47+C60)</f>
        <v>243910788.91000003</v>
      </c>
      <c r="D62" s="52"/>
      <c r="E62" s="52"/>
      <c r="F62" s="52"/>
    </row>
    <row r="63" spans="1:6" x14ac:dyDescent="0.25">
      <c r="A63" s="52"/>
      <c r="B63" s="52"/>
      <c r="C63" s="52"/>
      <c r="D63" s="93" t="s">
        <v>102</v>
      </c>
      <c r="E63" s="138">
        <f>SUM(E64:E66)</f>
        <v>17929388.379999999</v>
      </c>
      <c r="F63" s="138">
        <f>SUM(F64:F66)</f>
        <v>7638102.1699999999</v>
      </c>
    </row>
    <row r="64" spans="1:6" x14ac:dyDescent="0.25">
      <c r="A64" s="52"/>
      <c r="B64" s="52"/>
      <c r="C64" s="52"/>
      <c r="D64" s="94" t="s">
        <v>103</v>
      </c>
      <c r="E64" s="136">
        <v>17721959.379999999</v>
      </c>
      <c r="F64" s="136">
        <v>7638102.1699999999</v>
      </c>
    </row>
    <row r="65" spans="1:6" x14ac:dyDescent="0.25">
      <c r="A65" s="52"/>
      <c r="B65" s="52"/>
      <c r="C65" s="52"/>
      <c r="D65" s="39" t="s">
        <v>104</v>
      </c>
      <c r="E65" s="136">
        <v>207429</v>
      </c>
      <c r="F65" s="136">
        <v>0</v>
      </c>
    </row>
    <row r="66" spans="1:6" x14ac:dyDescent="0.25">
      <c r="A66" s="52"/>
      <c r="B66" s="52"/>
      <c r="C66" s="52"/>
      <c r="D66" s="94" t="s">
        <v>105</v>
      </c>
      <c r="E66" s="136">
        <v>0</v>
      </c>
      <c r="F66" s="136">
        <v>0</v>
      </c>
    </row>
    <row r="67" spans="1:6" x14ac:dyDescent="0.25">
      <c r="A67" s="52"/>
      <c r="B67" s="52"/>
      <c r="C67" s="52"/>
      <c r="D67" s="52"/>
      <c r="E67" s="52"/>
      <c r="F67" s="52"/>
    </row>
    <row r="68" spans="1:6" x14ac:dyDescent="0.25">
      <c r="A68" s="52"/>
      <c r="B68" s="52"/>
      <c r="C68" s="52"/>
      <c r="D68" s="93" t="s">
        <v>106</v>
      </c>
      <c r="E68" s="138">
        <f>SUM(E69:E73)</f>
        <v>303783158.94999999</v>
      </c>
      <c r="F68" s="138">
        <f>SUM(F69:F73)</f>
        <v>202751732.91000003</v>
      </c>
    </row>
    <row r="69" spans="1:6" x14ac:dyDescent="0.25">
      <c r="A69" s="12"/>
      <c r="B69" s="52"/>
      <c r="C69" s="52"/>
      <c r="D69" s="94" t="s">
        <v>107</v>
      </c>
      <c r="E69" s="136">
        <v>120211689.42</v>
      </c>
      <c r="F69" s="136">
        <v>70907997.450000003</v>
      </c>
    </row>
    <row r="70" spans="1:6" x14ac:dyDescent="0.25">
      <c r="A70" s="12"/>
      <c r="B70" s="52"/>
      <c r="C70" s="52"/>
      <c r="D70" s="94" t="s">
        <v>108</v>
      </c>
      <c r="E70" s="136">
        <v>183504358.22999999</v>
      </c>
      <c r="F70" s="136">
        <v>131776624.16</v>
      </c>
    </row>
    <row r="71" spans="1:6" x14ac:dyDescent="0.25">
      <c r="A71" s="12"/>
      <c r="B71" s="52"/>
      <c r="C71" s="52"/>
      <c r="D71" s="94" t="s">
        <v>109</v>
      </c>
      <c r="E71" s="136">
        <v>0</v>
      </c>
      <c r="F71" s="136">
        <v>0</v>
      </c>
    </row>
    <row r="72" spans="1:6" x14ac:dyDescent="0.25">
      <c r="A72" s="12"/>
      <c r="B72" s="52"/>
      <c r="C72" s="52"/>
      <c r="D72" s="94" t="s">
        <v>110</v>
      </c>
      <c r="E72" s="136">
        <v>0</v>
      </c>
      <c r="F72" s="136">
        <v>0</v>
      </c>
    </row>
    <row r="73" spans="1:6" x14ac:dyDescent="0.25">
      <c r="A73" s="12"/>
      <c r="B73" s="52"/>
      <c r="C73" s="52"/>
      <c r="D73" s="94" t="s">
        <v>111</v>
      </c>
      <c r="E73" s="136">
        <v>67111.3</v>
      </c>
      <c r="F73" s="136">
        <v>67111.3</v>
      </c>
    </row>
    <row r="74" spans="1:6" x14ac:dyDescent="0.25">
      <c r="A74" s="12"/>
      <c r="B74" s="52"/>
      <c r="C74" s="52"/>
      <c r="D74" s="52"/>
      <c r="E74" s="52"/>
      <c r="F74" s="52"/>
    </row>
    <row r="75" spans="1:6" x14ac:dyDescent="0.25">
      <c r="A75" s="12"/>
      <c r="B75" s="52"/>
      <c r="C75" s="52"/>
      <c r="D75" s="93" t="s">
        <v>112</v>
      </c>
      <c r="E75" s="136">
        <v>0</v>
      </c>
      <c r="F75" s="136">
        <v>0</v>
      </c>
    </row>
    <row r="76" spans="1:6" x14ac:dyDescent="0.25">
      <c r="A76" s="12"/>
      <c r="B76" s="52"/>
      <c r="C76" s="52"/>
      <c r="D76" s="91" t="s">
        <v>113</v>
      </c>
      <c r="E76" s="136">
        <v>0</v>
      </c>
      <c r="F76" s="136">
        <v>0</v>
      </c>
    </row>
    <row r="77" spans="1:6" x14ac:dyDescent="0.25">
      <c r="A77" s="12"/>
      <c r="B77" s="52"/>
      <c r="C77" s="52"/>
      <c r="D77" s="91" t="s">
        <v>114</v>
      </c>
      <c r="E77" s="136">
        <v>0</v>
      </c>
      <c r="F77" s="136">
        <v>0</v>
      </c>
    </row>
    <row r="78" spans="1:6" x14ac:dyDescent="0.25">
      <c r="A78" s="12"/>
      <c r="B78" s="52"/>
      <c r="C78" s="52"/>
      <c r="D78" s="52"/>
      <c r="E78" s="52"/>
      <c r="F78" s="52"/>
    </row>
    <row r="79" spans="1:6" x14ac:dyDescent="0.25">
      <c r="A79" s="12"/>
      <c r="B79" s="52"/>
      <c r="C79" s="52"/>
      <c r="D79" s="90" t="s">
        <v>115</v>
      </c>
      <c r="E79" s="139">
        <f>E63+E68+E75</f>
        <v>321712547.32999998</v>
      </c>
      <c r="F79" s="139">
        <f>F63+F68+F75</f>
        <v>210389835.08000001</v>
      </c>
    </row>
    <row r="80" spans="1:6" x14ac:dyDescent="0.25">
      <c r="A80" s="12"/>
      <c r="B80" s="52"/>
      <c r="C80" s="52"/>
      <c r="D80" s="52"/>
      <c r="E80" s="52"/>
      <c r="F80" s="52"/>
    </row>
    <row r="81" spans="1:6" x14ac:dyDescent="0.25">
      <c r="A81" s="12"/>
      <c r="B81" s="52"/>
      <c r="C81" s="52"/>
      <c r="D81" s="90" t="s">
        <v>116</v>
      </c>
      <c r="E81" s="139">
        <f>E59+E79</f>
        <v>370010165.16999996</v>
      </c>
      <c r="F81" s="139">
        <f>F59+F79</f>
        <v>243910788.91000003</v>
      </c>
    </row>
    <row r="82" spans="1:6" x14ac:dyDescent="0.25">
      <c r="A82" s="6"/>
      <c r="B82" s="63"/>
      <c r="C82" s="63"/>
      <c r="D82" s="63"/>
      <c r="E82" s="63"/>
      <c r="F82" s="63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172793943.24000001</v>
      </c>
      <c r="Q4" s="18">
        <f>'Formato 1'!C9</f>
        <v>101802436.01000001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13747463.57</v>
      </c>
      <c r="Q6" s="18">
        <f>'Formato 1'!C11</f>
        <v>8239927.8399999999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119652802.16</v>
      </c>
      <c r="Q8" s="18">
        <f>'Formato 1'!C13</f>
        <v>70848860.109999999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39018233.020000003</v>
      </c>
      <c r="Q9" s="18">
        <f>'Formato 1'!C14</f>
        <v>22288220.02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375444.49</v>
      </c>
      <c r="Q10" s="18">
        <f>'Formato 1'!C15</f>
        <v>425428.04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28085402.789999999</v>
      </c>
      <c r="Q12" s="18">
        <f>'Formato 1'!C17</f>
        <v>13835017.290000001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944512.65</v>
      </c>
      <c r="Q14" s="18">
        <f>'Formato 1'!C19</f>
        <v>935747.47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435000.39</v>
      </c>
      <c r="Q15" s="18">
        <f>'Formato 1'!C20</f>
        <v>347530.93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170000</v>
      </c>
      <c r="Q17" s="18">
        <f>'Formato 1'!C22</f>
        <v>155000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26535889.75</v>
      </c>
      <c r="Q19" s="18">
        <f>'Formato 1'!C24</f>
        <v>12396738.890000001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30300373</v>
      </c>
      <c r="Q20" s="18">
        <f>'Formato 1'!C25</f>
        <v>22268797.52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134413.88</v>
      </c>
      <c r="Q21" s="18">
        <f>'Formato 1'!C26</f>
        <v>37256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2497500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27668459.120000001</v>
      </c>
      <c r="Q24" s="18">
        <f>'Formato 1'!C29</f>
        <v>22231541.52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231179719.03</v>
      </c>
      <c r="Q42" s="18">
        <f>'Formato 1'!C47</f>
        <v>137906250.82000002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94067197.129999995</v>
      </c>
      <c r="Q46">
        <f>'Formato 1'!C52</f>
        <v>66247012.68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69922657.319999993</v>
      </c>
      <c r="Q47">
        <f>'Formato 1'!C53</f>
        <v>57740680.829999998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109817.91</v>
      </c>
      <c r="Q48">
        <f>'Formato 1'!C54</f>
        <v>54601.91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-26047020.440000001</v>
      </c>
      <c r="Q49">
        <f>'Formato 1'!C55</f>
        <v>-18480236.030000001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777794.22</v>
      </c>
      <c r="Q50">
        <f>'Formato 1'!C56</f>
        <v>442478.7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138830446.13999999</v>
      </c>
      <c r="Q53">
        <f>'Formato 1'!C60</f>
        <v>106004538.08999999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370010165.16999996</v>
      </c>
      <c r="Q54">
        <f>'Formato 1'!C62</f>
        <v>243910788.91000003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47374206.619999997</v>
      </c>
      <c r="Q57">
        <f>'Formato 1'!F9</f>
        <v>29018839.769999996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1134319.7</v>
      </c>
      <c r="Q58">
        <f>'Formato 1'!F10</f>
        <v>714666.47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15652629.75</v>
      </c>
      <c r="Q59">
        <f>'Formato 1'!F11</f>
        <v>4135740.92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22345214.309999999</v>
      </c>
      <c r="Q60">
        <f>'Formato 1'!F12</f>
        <v>14878981.26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327405.33</v>
      </c>
      <c r="Q62">
        <f>'Formato 1'!F14</f>
        <v>84982.74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6300258.4100000001</v>
      </c>
      <c r="Q64">
        <f>'Formato 1'!F16</f>
        <v>5053524.71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1614379.12</v>
      </c>
      <c r="Q66">
        <f>'Formato 1'!F18</f>
        <v>4150943.67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7.51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7.51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47374206.619999997</v>
      </c>
      <c r="Q95">
        <f>'Formato 1'!F47</f>
        <v>29018847.279999997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923411.22</v>
      </c>
      <c r="Q99">
        <f>'Formato 1'!F52</f>
        <v>4502106.55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923411.22</v>
      </c>
      <c r="Q103">
        <f>'Formato 1'!F57</f>
        <v>4502106.55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48297617.839999996</v>
      </c>
      <c r="Q104">
        <f>'Formato 1'!F59</f>
        <v>33520953.829999998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17929388.379999999</v>
      </c>
      <c r="Q106">
        <f>'Formato 1'!F63</f>
        <v>7638102.1699999999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17721959.379999999</v>
      </c>
      <c r="Q107">
        <f>'Formato 1'!F64</f>
        <v>7638102.1699999999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207429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303783158.94999999</v>
      </c>
      <c r="Q110">
        <f>'Formato 1'!F68</f>
        <v>202751732.91000003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120211689.42</v>
      </c>
      <c r="Q111">
        <f>'Formato 1'!F69</f>
        <v>70907997.450000003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183504358.22999999</v>
      </c>
      <c r="Q112">
        <f>'Formato 1'!F70</f>
        <v>131776624.16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321712547.32999998</v>
      </c>
      <c r="Q119">
        <f>'Formato 1'!F79</f>
        <v>210389835.08000001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370010165.16999996</v>
      </c>
      <c r="Q120">
        <f>'Formato 1'!F81</f>
        <v>243910788.91000003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23" zoomScale="90" zoomScaleNormal="90" workbookViewId="0">
      <selection activeCell="A23" sqref="A1:XFD1048576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1" customFormat="1" ht="37.5" customHeight="1" x14ac:dyDescent="0.25">
      <c r="A1" s="199" t="s">
        <v>536</v>
      </c>
      <c r="B1" s="199"/>
      <c r="C1" s="199"/>
      <c r="D1" s="199"/>
      <c r="E1" s="199"/>
      <c r="F1" s="199"/>
      <c r="G1" s="199"/>
      <c r="H1" s="199"/>
    </row>
    <row r="2" spans="1:9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6"/>
      <c r="G2" s="186"/>
      <c r="H2" s="187"/>
    </row>
    <row r="3" spans="1:9" x14ac:dyDescent="0.25">
      <c r="A3" s="188" t="s">
        <v>120</v>
      </c>
      <c r="B3" s="189"/>
      <c r="C3" s="189"/>
      <c r="D3" s="189"/>
      <c r="E3" s="189"/>
      <c r="F3" s="189"/>
      <c r="G3" s="189"/>
      <c r="H3" s="190"/>
    </row>
    <row r="4" spans="1:9" x14ac:dyDescent="0.25">
      <c r="A4" s="191" t="str">
        <f>PERIODO_INFORME</f>
        <v>Al 31 de diciembre de 2016 y al 31 de diciembre de 2017 (b)</v>
      </c>
      <c r="B4" s="192"/>
      <c r="C4" s="192"/>
      <c r="D4" s="192"/>
      <c r="E4" s="192"/>
      <c r="F4" s="192"/>
      <c r="G4" s="192"/>
      <c r="H4" s="193"/>
    </row>
    <row r="5" spans="1:9" x14ac:dyDescent="0.25">
      <c r="A5" s="194" t="s">
        <v>118</v>
      </c>
      <c r="B5" s="195"/>
      <c r="C5" s="195"/>
      <c r="D5" s="195"/>
      <c r="E5" s="195"/>
      <c r="F5" s="195"/>
      <c r="G5" s="195"/>
      <c r="H5" s="196"/>
    </row>
    <row r="6" spans="1:9" ht="45" x14ac:dyDescent="0.25">
      <c r="A6" s="95" t="s">
        <v>121</v>
      </c>
      <c r="B6" s="96" t="str">
        <f>ULTIMO_SALDO</f>
        <v>Saldo al 31 de diciembre de 2016 (d)</v>
      </c>
      <c r="C6" s="95" t="s">
        <v>122</v>
      </c>
      <c r="D6" s="95" t="s">
        <v>123</v>
      </c>
      <c r="E6" s="95" t="s">
        <v>124</v>
      </c>
      <c r="F6" s="95" t="s">
        <v>138</v>
      </c>
      <c r="G6" s="95" t="s">
        <v>125</v>
      </c>
      <c r="H6" s="43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97" t="s">
        <v>127</v>
      </c>
      <c r="B8" s="143">
        <f t="shared" ref="B8:H8" si="0">B9+B13</f>
        <v>4502114.0599999996</v>
      </c>
      <c r="C8" s="143">
        <f t="shared" si="0"/>
        <v>0</v>
      </c>
      <c r="D8" s="139">
        <f t="shared" si="0"/>
        <v>3578702.84</v>
      </c>
      <c r="E8" s="139">
        <f t="shared" si="0"/>
        <v>0</v>
      </c>
      <c r="F8" s="143">
        <f t="shared" si="0"/>
        <v>923411.22</v>
      </c>
      <c r="G8" s="139">
        <f t="shared" si="0"/>
        <v>22700.799999999999</v>
      </c>
      <c r="H8" s="139">
        <f t="shared" si="0"/>
        <v>0</v>
      </c>
    </row>
    <row r="9" spans="1:9" x14ac:dyDescent="0.25">
      <c r="A9" s="98" t="s">
        <v>128</v>
      </c>
      <c r="B9" s="58">
        <f>SUM(B10:B12)</f>
        <v>3578702.84</v>
      </c>
      <c r="C9" s="142">
        <f>SUM(C10:C12)</f>
        <v>0</v>
      </c>
      <c r="D9" s="58">
        <f t="shared" ref="D9" si="1">SUM(D10:D12)</f>
        <v>3578702.84</v>
      </c>
      <c r="E9" s="136">
        <v>0</v>
      </c>
      <c r="F9" s="136">
        <v>0</v>
      </c>
      <c r="G9" s="144">
        <f>SUM(G10:G12)</f>
        <v>22700.799999999999</v>
      </c>
      <c r="H9" s="136">
        <v>0</v>
      </c>
    </row>
    <row r="10" spans="1:9" x14ac:dyDescent="0.25">
      <c r="A10" s="99" t="s">
        <v>129</v>
      </c>
      <c r="B10" s="140">
        <v>3578702.84</v>
      </c>
      <c r="C10" s="140"/>
      <c r="D10" s="140">
        <v>3578702.84</v>
      </c>
      <c r="E10" s="136">
        <v>0</v>
      </c>
      <c r="F10" s="136">
        <v>0</v>
      </c>
      <c r="G10" s="141">
        <v>22700.799999999999</v>
      </c>
      <c r="H10" s="136">
        <v>0</v>
      </c>
    </row>
    <row r="11" spans="1:9" x14ac:dyDescent="0.25">
      <c r="A11" s="99" t="s">
        <v>130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</row>
    <row r="12" spans="1:9" x14ac:dyDescent="0.25">
      <c r="A12" s="99" t="s">
        <v>131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</row>
    <row r="13" spans="1:9" x14ac:dyDescent="0.25">
      <c r="A13" s="98" t="s">
        <v>132</v>
      </c>
      <c r="B13" s="142">
        <f>SUM(B14:B16)</f>
        <v>923411.22</v>
      </c>
      <c r="C13" s="136">
        <v>0</v>
      </c>
      <c r="D13" s="136">
        <v>0</v>
      </c>
      <c r="E13" s="136">
        <v>0</v>
      </c>
      <c r="F13" s="142">
        <f>SUM(F14:F16)</f>
        <v>923411.22</v>
      </c>
      <c r="G13" s="137">
        <f>SUM(G14:G16)</f>
        <v>0</v>
      </c>
      <c r="H13" s="137">
        <f>SUM(H14:H16)</f>
        <v>0</v>
      </c>
    </row>
    <row r="14" spans="1:9" x14ac:dyDescent="0.25">
      <c r="A14" s="99" t="s">
        <v>133</v>
      </c>
      <c r="B14" s="136">
        <v>923411.22</v>
      </c>
      <c r="C14" s="136">
        <v>0</v>
      </c>
      <c r="D14" s="136">
        <v>0</v>
      </c>
      <c r="E14" s="136">
        <v>0</v>
      </c>
      <c r="F14" s="140">
        <f>B14+C14-D14+E14</f>
        <v>923411.22</v>
      </c>
      <c r="G14" s="136">
        <v>0</v>
      </c>
      <c r="H14" s="136">
        <v>0</v>
      </c>
    </row>
    <row r="15" spans="1:9" x14ac:dyDescent="0.25">
      <c r="A15" s="99" t="s">
        <v>134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</row>
    <row r="16" spans="1:9" x14ac:dyDescent="0.25">
      <c r="A16" s="99" t="s">
        <v>135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</row>
    <row r="17" spans="1:8" x14ac:dyDescent="0.25">
      <c r="A17" s="52"/>
      <c r="B17" s="12"/>
      <c r="C17" s="12"/>
      <c r="D17" s="12"/>
      <c r="E17" s="12"/>
      <c r="F17" s="12"/>
      <c r="G17" s="12"/>
      <c r="H17" s="12"/>
    </row>
    <row r="18" spans="1:8" x14ac:dyDescent="0.25">
      <c r="A18" s="97" t="s">
        <v>136</v>
      </c>
      <c r="B18" s="175">
        <v>29018839.77</v>
      </c>
      <c r="C18" s="120"/>
      <c r="D18" s="120"/>
      <c r="E18" s="120"/>
      <c r="F18" s="145">
        <v>47374206.619999997</v>
      </c>
      <c r="G18" s="120"/>
      <c r="H18" s="120"/>
    </row>
    <row r="19" spans="1:8" x14ac:dyDescent="0.25">
      <c r="A19" s="78"/>
      <c r="B19" s="5"/>
      <c r="C19" s="5"/>
      <c r="D19" s="5"/>
      <c r="E19" s="5"/>
      <c r="F19" s="5"/>
      <c r="G19" s="5"/>
      <c r="H19" s="5"/>
    </row>
    <row r="20" spans="1:8" x14ac:dyDescent="0.25">
      <c r="A20" s="97" t="s">
        <v>137</v>
      </c>
      <c r="B20" s="143">
        <f t="shared" ref="B20:H20" si="2">B8+B18</f>
        <v>33520953.829999998</v>
      </c>
      <c r="C20" s="139">
        <f t="shared" si="2"/>
        <v>0</v>
      </c>
      <c r="D20" s="139">
        <f t="shared" si="2"/>
        <v>3578702.84</v>
      </c>
      <c r="E20" s="139">
        <f t="shared" si="2"/>
        <v>0</v>
      </c>
      <c r="F20" s="143">
        <f t="shared" si="2"/>
        <v>48297617.839999996</v>
      </c>
      <c r="G20" s="139">
        <f t="shared" si="2"/>
        <v>22700.799999999999</v>
      </c>
      <c r="H20" s="139">
        <f t="shared" si="2"/>
        <v>0</v>
      </c>
    </row>
    <row r="21" spans="1:8" x14ac:dyDescent="0.25">
      <c r="A21" s="52"/>
      <c r="B21" s="52"/>
      <c r="C21" s="52"/>
      <c r="D21" s="52"/>
      <c r="E21" s="52"/>
      <c r="F21" s="52"/>
      <c r="G21" s="52"/>
      <c r="H21" s="52"/>
    </row>
    <row r="22" spans="1:8" ht="17.25" x14ac:dyDescent="0.25">
      <c r="A22" s="97" t="s">
        <v>3288</v>
      </c>
      <c r="B22" s="139">
        <f>B23+B24+B25</f>
        <v>0</v>
      </c>
      <c r="C22" s="139">
        <f t="shared" ref="C22:H22" ca="1" si="3">C23+VALOR_INS_BCC_T4</f>
        <v>0</v>
      </c>
      <c r="D22" s="139">
        <f t="shared" ca="1" si="3"/>
        <v>0</v>
      </c>
      <c r="E22" s="139">
        <f t="shared" ca="1" si="3"/>
        <v>0</v>
      </c>
      <c r="F22" s="139">
        <f t="shared" ca="1" si="3"/>
        <v>0</v>
      </c>
      <c r="G22" s="139">
        <f t="shared" ca="1" si="3"/>
        <v>0</v>
      </c>
      <c r="H22" s="139">
        <f t="shared" ca="1" si="3"/>
        <v>0</v>
      </c>
    </row>
    <row r="23" spans="1:8" s="23" customFormat="1" x14ac:dyDescent="0.25">
      <c r="A23" s="100" t="s">
        <v>434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</row>
    <row r="24" spans="1:8" s="23" customFormat="1" x14ac:dyDescent="0.25">
      <c r="A24" s="100" t="s">
        <v>435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</row>
    <row r="25" spans="1:8" s="23" customFormat="1" x14ac:dyDescent="0.25">
      <c r="A25" s="100" t="s">
        <v>436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</row>
    <row r="26" spans="1:8" x14ac:dyDescent="0.25">
      <c r="A26" s="68" t="s">
        <v>678</v>
      </c>
      <c r="B26" s="52"/>
      <c r="C26" s="52"/>
      <c r="D26" s="52"/>
      <c r="E26" s="52"/>
      <c r="F26" s="52"/>
      <c r="G26" s="52"/>
      <c r="H26" s="52"/>
    </row>
    <row r="27" spans="1:8" ht="17.25" x14ac:dyDescent="0.25">
      <c r="A27" s="97" t="s">
        <v>3289</v>
      </c>
      <c r="B27" s="139">
        <f>B28+B29+B30</f>
        <v>0</v>
      </c>
      <c r="C27" s="139">
        <f t="shared" ref="C27:H27" ca="1" si="4">C28+VALOR_INS_BCC_T4</f>
        <v>0</v>
      </c>
      <c r="D27" s="139">
        <f t="shared" ca="1" si="4"/>
        <v>0</v>
      </c>
      <c r="E27" s="139">
        <f t="shared" ca="1" si="4"/>
        <v>0</v>
      </c>
      <c r="F27" s="139">
        <f t="shared" ca="1" si="4"/>
        <v>0</v>
      </c>
      <c r="G27" s="139">
        <f t="shared" ca="1" si="4"/>
        <v>0</v>
      </c>
      <c r="H27" s="139">
        <f t="shared" ca="1" si="4"/>
        <v>0</v>
      </c>
    </row>
    <row r="28" spans="1:8" s="23" customFormat="1" x14ac:dyDescent="0.25">
      <c r="A28" s="100" t="s">
        <v>437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</row>
    <row r="29" spans="1:8" s="23" customFormat="1" x14ac:dyDescent="0.25">
      <c r="A29" s="100" t="s">
        <v>438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</row>
    <row r="30" spans="1:8" s="23" customFormat="1" x14ac:dyDescent="0.25">
      <c r="A30" s="100" t="s">
        <v>439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</row>
    <row r="31" spans="1:8" x14ac:dyDescent="0.25">
      <c r="A31" s="101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1"/>
    </row>
    <row r="33" spans="1:8" ht="12" customHeight="1" x14ac:dyDescent="0.25">
      <c r="A33" s="198" t="s">
        <v>3292</v>
      </c>
      <c r="B33" s="198"/>
      <c r="C33" s="198"/>
      <c r="D33" s="198"/>
      <c r="E33" s="198"/>
      <c r="F33" s="198"/>
      <c r="G33" s="198"/>
      <c r="H33" s="198"/>
    </row>
    <row r="34" spans="1:8" ht="12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2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2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2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81"/>
    </row>
    <row r="39" spans="1:8" ht="30" x14ac:dyDescent="0.25">
      <c r="A39" s="95" t="s">
        <v>139</v>
      </c>
      <c r="B39" s="95" t="s">
        <v>142</v>
      </c>
      <c r="C39" s="95" t="s">
        <v>143</v>
      </c>
      <c r="D39" s="95" t="s">
        <v>144</v>
      </c>
      <c r="E39" s="95" t="s">
        <v>140</v>
      </c>
      <c r="F39" s="43" t="s">
        <v>145</v>
      </c>
    </row>
    <row r="40" spans="1:8" x14ac:dyDescent="0.25">
      <c r="A40" s="78"/>
      <c r="B40" s="5"/>
      <c r="C40" s="5"/>
      <c r="D40" s="5"/>
      <c r="E40" s="5"/>
      <c r="F40" s="5"/>
    </row>
    <row r="41" spans="1:8" x14ac:dyDescent="0.25">
      <c r="A41" s="97" t="s">
        <v>141</v>
      </c>
      <c r="B41" s="59">
        <f>SUM(B42:OB_CORTO_PLAZO_FIN_01)</f>
        <v>3</v>
      </c>
      <c r="C41" s="59">
        <f>SUM(C42:OB_CORTO_PLAZO_FIN_02)</f>
        <v>3</v>
      </c>
      <c r="D41" s="59">
        <f>SUM(D42:OB_CORTO_PLAZO_FIN_03)</f>
        <v>3</v>
      </c>
      <c r="E41" s="59">
        <f>SUM(E42:OB_CORTO_PLAZO_FIN_04)</f>
        <v>3</v>
      </c>
      <c r="F41" s="59">
        <f>SUM(F42:OB_CORTO_PLAZO_FIN_05)</f>
        <v>3</v>
      </c>
    </row>
    <row r="42" spans="1:8" s="23" customFormat="1" x14ac:dyDescent="0.25">
      <c r="A42" s="100" t="s">
        <v>440</v>
      </c>
      <c r="B42" s="58">
        <v>1</v>
      </c>
      <c r="C42" s="58">
        <v>1</v>
      </c>
      <c r="D42" s="58">
        <v>1</v>
      </c>
      <c r="E42" s="58">
        <v>1</v>
      </c>
      <c r="F42" s="58">
        <v>1</v>
      </c>
    </row>
    <row r="43" spans="1:8" s="23" customFormat="1" x14ac:dyDescent="0.25">
      <c r="A43" s="100" t="s">
        <v>441</v>
      </c>
      <c r="B43" s="58">
        <v>1</v>
      </c>
      <c r="C43" s="58">
        <v>1</v>
      </c>
      <c r="D43" s="58">
        <v>1</v>
      </c>
      <c r="E43" s="58">
        <v>1</v>
      </c>
      <c r="F43" s="58">
        <v>1</v>
      </c>
    </row>
    <row r="44" spans="1:8" s="23" customFormat="1" x14ac:dyDescent="0.25">
      <c r="A44" s="100" t="s">
        <v>442</v>
      </c>
      <c r="B44" s="58">
        <v>1</v>
      </c>
      <c r="C44" s="58">
        <v>1</v>
      </c>
      <c r="D44" s="58">
        <v>1</v>
      </c>
      <c r="E44" s="58">
        <v>1</v>
      </c>
      <c r="F44" s="58">
        <v>1</v>
      </c>
    </row>
    <row r="45" spans="1:8" x14ac:dyDescent="0.25">
      <c r="A45" s="19" t="s">
        <v>678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4502114.0599999996</v>
      </c>
      <c r="Q3" s="18">
        <f>'Formato 2'!C8</f>
        <v>0</v>
      </c>
      <c r="R3" s="18">
        <f>'Formato 2'!D8</f>
        <v>3578702.84</v>
      </c>
      <c r="S3" s="18">
        <f>'Formato 2'!E8</f>
        <v>0</v>
      </c>
      <c r="T3" s="18">
        <f>'Formato 2'!F8</f>
        <v>923411.22</v>
      </c>
      <c r="U3" s="18">
        <f>'Formato 2'!G8</f>
        <v>22700.799999999999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3578702.84</v>
      </c>
      <c r="Q4" s="18">
        <f>'Formato 2'!C9</f>
        <v>0</v>
      </c>
      <c r="R4" s="18">
        <f>'Formato 2'!D9</f>
        <v>3578702.84</v>
      </c>
      <c r="S4" s="18">
        <f>'Formato 2'!E9</f>
        <v>0</v>
      </c>
      <c r="T4" s="18">
        <f>'Formato 2'!F9</f>
        <v>0</v>
      </c>
      <c r="U4" s="18">
        <f>'Formato 2'!G9</f>
        <v>22700.799999999999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3578702.84</v>
      </c>
      <c r="Q5" s="18">
        <f>'Formato 2'!C10</f>
        <v>0</v>
      </c>
      <c r="R5" s="18">
        <f>'Formato 2'!D10</f>
        <v>3578702.84</v>
      </c>
      <c r="S5" s="18">
        <f>'Formato 2'!E10</f>
        <v>0</v>
      </c>
      <c r="T5" s="18">
        <f>'Formato 2'!F10</f>
        <v>0</v>
      </c>
      <c r="U5" s="18">
        <f>'Formato 2'!G10</f>
        <v>22700.799999999999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923411.22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923411.22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923411.22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923411.22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29018839.77</v>
      </c>
      <c r="Q12" s="18"/>
      <c r="R12" s="18"/>
      <c r="S12" s="18"/>
      <c r="T12" s="18">
        <f>'Formato 2'!F18</f>
        <v>47374206.619999997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33520953.829999998</v>
      </c>
      <c r="Q13" s="18">
        <f>'Formato 2'!C20</f>
        <v>0</v>
      </c>
      <c r="R13" s="18">
        <f>'Formato 2'!D20</f>
        <v>3578702.84</v>
      </c>
      <c r="S13" s="18">
        <f>'Formato 2'!E20</f>
        <v>0</v>
      </c>
      <c r="T13" s="18">
        <f>'Formato 2'!F20</f>
        <v>48297617.839999996</v>
      </c>
      <c r="U13" s="18">
        <f>'Formato 2'!G20</f>
        <v>22700.799999999999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 ca="1">DEUDA_CONT_T2</f>
        <v>0</v>
      </c>
      <c r="R14">
        <f ca="1">DEUDA_CONT_T3</f>
        <v>0</v>
      </c>
      <c r="S14">
        <f ca="1">DEUDA_CONT_T4</f>
        <v>0</v>
      </c>
      <c r="T14">
        <f ca="1">DEUDA_CONT_T4</f>
        <v>0</v>
      </c>
      <c r="U14">
        <f ca="1">DEUDA_CONT_T6</f>
        <v>0</v>
      </c>
      <c r="V14">
        <f ca="1"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 ca="1">VALOR_INS_BCC_T2</f>
        <v>0</v>
      </c>
      <c r="R15">
        <f ca="1">VALOR_INS_BCC_T3</f>
        <v>0</v>
      </c>
      <c r="S15">
        <f ca="1">VALOR_INS_BCC_T4</f>
        <v>0</v>
      </c>
      <c r="T15">
        <f ca="1">VALOR_INS_BCC_T5</f>
        <v>0</v>
      </c>
      <c r="U15">
        <f ca="1">VALOR_INS_BCC_T6</f>
        <v>0</v>
      </c>
      <c r="V15">
        <f ca="1"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XFD1048576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82" customFormat="1" ht="37.5" customHeight="1" x14ac:dyDescent="0.25">
      <c r="A1" s="197" t="s">
        <v>535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02"/>
    </row>
    <row r="2" spans="1:12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2" x14ac:dyDescent="0.25">
      <c r="A3" s="188" t="s">
        <v>146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</row>
    <row r="4" spans="1:12" x14ac:dyDescent="0.25">
      <c r="A4" s="191" t="str">
        <f>TRIMESTRE</f>
        <v>Del 1 de enero al 31 de diciembre de 2017 (b)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2" x14ac:dyDescent="0.25">
      <c r="A5" s="188" t="s">
        <v>118</v>
      </c>
      <c r="B5" s="189"/>
      <c r="C5" s="189"/>
      <c r="D5" s="189"/>
      <c r="E5" s="189"/>
      <c r="F5" s="189"/>
      <c r="G5" s="189"/>
      <c r="H5" s="189"/>
      <c r="I5" s="189"/>
      <c r="J5" s="189"/>
      <c r="K5" s="190"/>
    </row>
    <row r="6" spans="1:12" ht="75" x14ac:dyDescent="0.25">
      <c r="A6" s="43" t="s">
        <v>147</v>
      </c>
      <c r="B6" s="43" t="s">
        <v>148</v>
      </c>
      <c r="C6" s="43" t="s">
        <v>149</v>
      </c>
      <c r="D6" s="43" t="s">
        <v>150</v>
      </c>
      <c r="E6" s="43" t="s">
        <v>151</v>
      </c>
      <c r="F6" s="43" t="s">
        <v>152</v>
      </c>
      <c r="G6" s="43" t="s">
        <v>153</v>
      </c>
      <c r="H6" s="43" t="s">
        <v>154</v>
      </c>
      <c r="I6" s="119" t="str">
        <f>MONTO1</f>
        <v>Monto pagado de la inversión al 31 de diciembre de 2017 (k)</v>
      </c>
      <c r="J6" s="119" t="str">
        <f>MONTO2</f>
        <v>Monto pagado de la inversión actualizado al 31 de diciembre de 2017 (l)</v>
      </c>
      <c r="K6" s="119" t="str">
        <f>SALDO_PENDIENTE</f>
        <v>Saldo pendiente por pagar de la inversión al 31 de diciembre de 2017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7" t="s">
        <v>155</v>
      </c>
      <c r="B8" s="117"/>
      <c r="C8" s="117"/>
      <c r="D8" s="117"/>
      <c r="E8" s="139">
        <f>SUM(E9:E12)</f>
        <v>0</v>
      </c>
      <c r="F8" s="117"/>
      <c r="G8" s="139">
        <f>SUM(G9:G12)</f>
        <v>0</v>
      </c>
      <c r="H8" s="139">
        <f>SUM(H9:H12)</f>
        <v>0</v>
      </c>
      <c r="I8" s="139">
        <f>SUM(I9:I12)</f>
        <v>0</v>
      </c>
      <c r="J8" s="59">
        <f>SUM(J9:APP_FIN_09)</f>
        <v>0</v>
      </c>
      <c r="K8" s="139">
        <f>SUM(K9:K12)</f>
        <v>0</v>
      </c>
    </row>
    <row r="9" spans="1:12" s="23" customFormat="1" x14ac:dyDescent="0.25">
      <c r="A9" s="105" t="s">
        <v>156</v>
      </c>
      <c r="B9" s="103"/>
      <c r="C9" s="103"/>
      <c r="D9" s="103"/>
      <c r="E9" s="136">
        <v>0</v>
      </c>
      <c r="F9" s="58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</row>
    <row r="10" spans="1:12" s="23" customFormat="1" x14ac:dyDescent="0.25">
      <c r="A10" s="105" t="s">
        <v>157</v>
      </c>
      <c r="B10" s="103"/>
      <c r="C10" s="103"/>
      <c r="D10" s="103"/>
      <c r="E10" s="136">
        <v>0</v>
      </c>
      <c r="F10" s="58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</row>
    <row r="11" spans="1:12" s="23" customFormat="1" x14ac:dyDescent="0.25">
      <c r="A11" s="105" t="s">
        <v>158</v>
      </c>
      <c r="B11" s="103"/>
      <c r="C11" s="103"/>
      <c r="D11" s="103"/>
      <c r="E11" s="136">
        <v>0</v>
      </c>
      <c r="F11" s="58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</row>
    <row r="12" spans="1:12" s="23" customFormat="1" x14ac:dyDescent="0.25">
      <c r="A12" s="105" t="s">
        <v>159</v>
      </c>
      <c r="B12" s="103"/>
      <c r="C12" s="103"/>
      <c r="D12" s="103"/>
      <c r="E12" s="136">
        <v>0</v>
      </c>
      <c r="F12" s="58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</row>
    <row r="13" spans="1:12" x14ac:dyDescent="0.25">
      <c r="A13" s="106" t="s">
        <v>678</v>
      </c>
      <c r="B13" s="104"/>
      <c r="C13" s="104"/>
      <c r="D13" s="104"/>
      <c r="E13" s="52"/>
      <c r="F13" s="52"/>
      <c r="G13" s="52"/>
      <c r="H13" s="52"/>
      <c r="I13" s="52"/>
      <c r="J13" s="52"/>
      <c r="K13" s="52"/>
    </row>
    <row r="14" spans="1:12" x14ac:dyDescent="0.25">
      <c r="A14" s="37" t="s">
        <v>160</v>
      </c>
      <c r="B14" s="117"/>
      <c r="C14" s="117"/>
      <c r="D14" s="117"/>
      <c r="E14" s="139">
        <f>SUM(E15:E18)</f>
        <v>0</v>
      </c>
      <c r="F14" s="117"/>
      <c r="G14" s="139">
        <f>SUM(G15:G18)</f>
        <v>0</v>
      </c>
      <c r="H14" s="139">
        <f>SUM(H15:H18)</f>
        <v>0</v>
      </c>
      <c r="I14" s="139">
        <f>SUM(I15:I18)</f>
        <v>0</v>
      </c>
      <c r="J14" s="139">
        <f>SUM(J15:J18)</f>
        <v>0</v>
      </c>
      <c r="K14" s="139">
        <f>SUM(K15:K18)</f>
        <v>0</v>
      </c>
    </row>
    <row r="15" spans="1:12" s="23" customFormat="1" x14ac:dyDescent="0.25">
      <c r="A15" s="105" t="s">
        <v>161</v>
      </c>
      <c r="B15" s="103"/>
      <c r="C15" s="103"/>
      <c r="D15" s="103"/>
      <c r="E15" s="136">
        <v>0</v>
      </c>
      <c r="F15" s="58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</row>
    <row r="16" spans="1:12" s="23" customFormat="1" x14ac:dyDescent="0.25">
      <c r="A16" s="105" t="s">
        <v>162</v>
      </c>
      <c r="B16" s="103"/>
      <c r="C16" s="103"/>
      <c r="D16" s="103"/>
      <c r="E16" s="136">
        <v>0</v>
      </c>
      <c r="F16" s="58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</row>
    <row r="17" spans="1:11" s="23" customFormat="1" x14ac:dyDescent="0.25">
      <c r="A17" s="105" t="s">
        <v>163</v>
      </c>
      <c r="B17" s="103"/>
      <c r="C17" s="103"/>
      <c r="D17" s="103"/>
      <c r="E17" s="136">
        <v>0</v>
      </c>
      <c r="F17" s="58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</row>
    <row r="18" spans="1:11" s="23" customFormat="1" x14ac:dyDescent="0.25">
      <c r="A18" s="105" t="s">
        <v>164</v>
      </c>
      <c r="B18" s="103"/>
      <c r="C18" s="103"/>
      <c r="D18" s="103"/>
      <c r="E18" s="136">
        <v>0</v>
      </c>
      <c r="F18" s="58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</row>
    <row r="19" spans="1:11" x14ac:dyDescent="0.25">
      <c r="A19" s="106" t="s">
        <v>678</v>
      </c>
      <c r="B19" s="104"/>
      <c r="C19" s="104"/>
      <c r="D19" s="104"/>
      <c r="E19" s="52"/>
      <c r="F19" s="52"/>
      <c r="G19" s="52"/>
      <c r="H19" s="52"/>
      <c r="I19" s="52"/>
      <c r="J19" s="52"/>
      <c r="K19" s="52"/>
    </row>
    <row r="20" spans="1:11" x14ac:dyDescent="0.25">
      <c r="A20" s="37" t="s">
        <v>165</v>
      </c>
      <c r="B20" s="117"/>
      <c r="C20" s="117"/>
      <c r="D20" s="117"/>
      <c r="E20" s="139">
        <f>SUM(E21:E24)</f>
        <v>0</v>
      </c>
      <c r="F20" s="117"/>
      <c r="G20" s="139">
        <f>SUM(G21:G24)</f>
        <v>0</v>
      </c>
      <c r="H20" s="139">
        <f>SUM(H21:H24)</f>
        <v>0</v>
      </c>
      <c r="I20" s="139">
        <f>SUM(I21:I24)</f>
        <v>0</v>
      </c>
      <c r="J20" s="139">
        <f>SUM(J21:J24)</f>
        <v>0</v>
      </c>
      <c r="K20" s="139">
        <f>SUM(K21:K24)</f>
        <v>0</v>
      </c>
    </row>
    <row r="21" spans="1:11" x14ac:dyDescent="0.25">
      <c r="A21" s="56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disablePrompts="1"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XFD104857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2" customFormat="1" ht="37.5" customHeight="1" x14ac:dyDescent="0.25">
      <c r="A1" s="197" t="s">
        <v>534</v>
      </c>
      <c r="B1" s="197"/>
      <c r="C1" s="197"/>
      <c r="D1" s="197"/>
      <c r="E1" s="102"/>
      <c r="F1" s="102"/>
      <c r="G1" s="102"/>
      <c r="H1" s="102"/>
      <c r="I1" s="102"/>
      <c r="J1" s="102"/>
      <c r="K1" s="102"/>
    </row>
    <row r="2" spans="1:11" x14ac:dyDescent="0.25">
      <c r="A2" s="185" t="str">
        <f>ENTE_PUBLICO_A</f>
        <v>MUNICIPIO DE VALLE DE SANTIAGO, GTO., Gobierno del Estado de Guanajuato (a)</v>
      </c>
      <c r="B2" s="186"/>
      <c r="C2" s="186"/>
      <c r="D2" s="187"/>
    </row>
    <row r="3" spans="1:11" x14ac:dyDescent="0.25">
      <c r="A3" s="188" t="s">
        <v>166</v>
      </c>
      <c r="B3" s="189"/>
      <c r="C3" s="189"/>
      <c r="D3" s="190"/>
    </row>
    <row r="4" spans="1:11" x14ac:dyDescent="0.25">
      <c r="A4" s="191" t="str">
        <f>TRIMESTRE</f>
        <v>Del 1 de enero al 31 de diciembre de 2017 (b)</v>
      </c>
      <c r="B4" s="192"/>
      <c r="C4" s="192"/>
      <c r="D4" s="193"/>
    </row>
    <row r="5" spans="1:11" x14ac:dyDescent="0.25">
      <c r="A5" s="194" t="s">
        <v>118</v>
      </c>
      <c r="B5" s="195"/>
      <c r="C5" s="195"/>
      <c r="D5" s="196"/>
    </row>
    <row r="6" spans="1:11" x14ac:dyDescent="0.25"/>
    <row r="7" spans="1:11" ht="39" customHeight="1" x14ac:dyDescent="0.25">
      <c r="A7" s="107" t="s">
        <v>0</v>
      </c>
      <c r="B7" s="43" t="s">
        <v>181</v>
      </c>
      <c r="C7" s="43" t="s">
        <v>167</v>
      </c>
      <c r="D7" s="43" t="s">
        <v>182</v>
      </c>
    </row>
    <row r="8" spans="1:11" x14ac:dyDescent="0.25">
      <c r="A8" s="53" t="s">
        <v>168</v>
      </c>
      <c r="B8" s="146">
        <f>SUM(B9:B11)</f>
        <v>501128860.48000008</v>
      </c>
      <c r="C8" s="146">
        <f>SUM(C9:C11)</f>
        <v>420188547.84000003</v>
      </c>
      <c r="D8" s="146">
        <f>SUM(D9:D11)</f>
        <v>420188547.84000003</v>
      </c>
    </row>
    <row r="9" spans="1:11" x14ac:dyDescent="0.25">
      <c r="A9" s="51" t="s">
        <v>169</v>
      </c>
      <c r="B9" s="136">
        <v>165079691.78</v>
      </c>
      <c r="C9" s="136">
        <v>187988678.62000003</v>
      </c>
      <c r="D9" s="136">
        <v>187988678.62000003</v>
      </c>
    </row>
    <row r="10" spans="1:11" x14ac:dyDescent="0.25">
      <c r="A10" s="51" t="s">
        <v>170</v>
      </c>
      <c r="B10" s="136">
        <v>324070130.79000002</v>
      </c>
      <c r="C10" s="136">
        <v>233008331.41999999</v>
      </c>
      <c r="D10" s="136">
        <v>233008331.41999999</v>
      </c>
    </row>
    <row r="11" spans="1:11" x14ac:dyDescent="0.25">
      <c r="A11" s="51" t="s">
        <v>171</v>
      </c>
      <c r="B11" s="149">
        <f>B44</f>
        <v>11979037.91</v>
      </c>
      <c r="C11" s="149">
        <f>C44</f>
        <v>-808462.2</v>
      </c>
      <c r="D11" s="149">
        <f>D44</f>
        <v>-808462.2</v>
      </c>
    </row>
    <row r="12" spans="1:11" x14ac:dyDescent="0.25">
      <c r="A12" s="86"/>
      <c r="B12" s="12"/>
      <c r="C12" s="12"/>
      <c r="D12" s="12"/>
    </row>
    <row r="13" spans="1:11" x14ac:dyDescent="0.25">
      <c r="A13" s="53" t="s">
        <v>180</v>
      </c>
      <c r="B13" s="146">
        <f>B14+B15</f>
        <v>619232838.10000002</v>
      </c>
      <c r="C13" s="146">
        <f>C14+C15</f>
        <v>342637044.27000004</v>
      </c>
      <c r="D13" s="146">
        <f>D14+D15</f>
        <v>309889529.56</v>
      </c>
    </row>
    <row r="14" spans="1:11" x14ac:dyDescent="0.25">
      <c r="A14" s="51" t="s">
        <v>172</v>
      </c>
      <c r="B14" s="136">
        <v>183648966.06999999</v>
      </c>
      <c r="C14" s="136">
        <v>163729064.36000001</v>
      </c>
      <c r="D14" s="136">
        <v>157032395.75999999</v>
      </c>
    </row>
    <row r="15" spans="1:11" x14ac:dyDescent="0.25">
      <c r="A15" s="51" t="s">
        <v>173</v>
      </c>
      <c r="B15" s="136">
        <f>438604834.12-B40</f>
        <v>435583872.03000003</v>
      </c>
      <c r="C15" s="136">
        <f>179716442.11-C40</f>
        <v>178907979.91000003</v>
      </c>
      <c r="D15" s="136">
        <f>153665596-D40</f>
        <v>152857133.80000001</v>
      </c>
    </row>
    <row r="16" spans="1:11" x14ac:dyDescent="0.25">
      <c r="A16" s="86"/>
      <c r="B16" s="12"/>
      <c r="C16" s="12"/>
      <c r="D16" s="12"/>
    </row>
    <row r="17" spans="1:4" x14ac:dyDescent="0.25">
      <c r="A17" s="53" t="s">
        <v>174</v>
      </c>
      <c r="B17" s="108">
        <f>B18+B19</f>
        <v>0</v>
      </c>
      <c r="C17" s="146">
        <f>C18+C19</f>
        <v>76887958.479999989</v>
      </c>
      <c r="D17" s="146">
        <f>D18+D19</f>
        <v>76887958.479999989</v>
      </c>
    </row>
    <row r="18" spans="1:4" x14ac:dyDescent="0.25">
      <c r="A18" s="51" t="s">
        <v>175</v>
      </c>
      <c r="B18" s="109">
        <v>0</v>
      </c>
      <c r="C18" s="136">
        <v>8024829.0700000003</v>
      </c>
      <c r="D18" s="136">
        <v>8024829.0700000003</v>
      </c>
    </row>
    <row r="19" spans="1:4" x14ac:dyDescent="0.25">
      <c r="A19" s="51" t="s">
        <v>176</v>
      </c>
      <c r="B19" s="109">
        <v>0</v>
      </c>
      <c r="C19" s="136">
        <v>68863129.409999996</v>
      </c>
      <c r="D19" s="136">
        <v>68863129.409999996</v>
      </c>
    </row>
    <row r="20" spans="1:4" x14ac:dyDescent="0.25">
      <c r="A20" s="86"/>
      <c r="B20" s="12"/>
      <c r="C20" s="12"/>
      <c r="D20" s="12"/>
    </row>
    <row r="21" spans="1:4" x14ac:dyDescent="0.25">
      <c r="A21" s="53" t="s">
        <v>177</v>
      </c>
      <c r="B21" s="146">
        <f>B8-B13+B17</f>
        <v>-118103977.61999995</v>
      </c>
      <c r="C21" s="146">
        <f>C8-C13+C17</f>
        <v>154439462.04999998</v>
      </c>
      <c r="D21" s="146">
        <f>D8-D13+D17</f>
        <v>187186976.76000002</v>
      </c>
    </row>
    <row r="22" spans="1:4" x14ac:dyDescent="0.25">
      <c r="A22" s="53"/>
      <c r="B22" s="12"/>
      <c r="C22" s="12"/>
      <c r="D22" s="12"/>
    </row>
    <row r="23" spans="1:4" x14ac:dyDescent="0.25">
      <c r="A23" s="53" t="s">
        <v>178</v>
      </c>
      <c r="B23" s="146">
        <f>B21-B11</f>
        <v>-130083015.52999994</v>
      </c>
      <c r="C23" s="146">
        <f>C21-C11</f>
        <v>155247924.24999997</v>
      </c>
      <c r="D23" s="146">
        <f>D21-D11</f>
        <v>187995438.96000001</v>
      </c>
    </row>
    <row r="24" spans="1:4" x14ac:dyDescent="0.25">
      <c r="A24" s="53"/>
      <c r="B24" s="17"/>
      <c r="C24" s="17"/>
      <c r="D24" s="17"/>
    </row>
    <row r="25" spans="1:4" x14ac:dyDescent="0.25">
      <c r="A25" s="110" t="s">
        <v>179</v>
      </c>
      <c r="B25" s="146">
        <f>B23-B17</f>
        <v>-130083015.52999994</v>
      </c>
      <c r="C25" s="146">
        <f>C23-C17</f>
        <v>78359965.769999981</v>
      </c>
      <c r="D25" s="146">
        <f>D23-D17</f>
        <v>111107480.48000002</v>
      </c>
    </row>
    <row r="26" spans="1:4" x14ac:dyDescent="0.25">
      <c r="A26" s="111"/>
      <c r="B26" s="13"/>
      <c r="C26" s="13"/>
      <c r="D26" s="13"/>
    </row>
    <row r="27" spans="1:4" x14ac:dyDescent="0.25">
      <c r="A27" s="81"/>
    </row>
    <row r="28" spans="1:4" ht="30" customHeight="1" x14ac:dyDescent="0.25">
      <c r="A28" s="107" t="s">
        <v>183</v>
      </c>
      <c r="B28" s="43" t="s">
        <v>184</v>
      </c>
      <c r="C28" s="43" t="s">
        <v>167</v>
      </c>
      <c r="D28" s="43" t="s">
        <v>185</v>
      </c>
    </row>
    <row r="29" spans="1:4" x14ac:dyDescent="0.25">
      <c r="A29" s="53" t="s">
        <v>186</v>
      </c>
      <c r="B29" s="139">
        <f>B30+B31</f>
        <v>1002500</v>
      </c>
      <c r="C29" s="139">
        <f>C30+C31</f>
        <v>22700.799999999999</v>
      </c>
      <c r="D29" s="139">
        <f>D30+D31</f>
        <v>22700.799999999999</v>
      </c>
    </row>
    <row r="30" spans="1:4" x14ac:dyDescent="0.25">
      <c r="A30" s="51" t="s">
        <v>187</v>
      </c>
      <c r="B30" s="136">
        <v>0</v>
      </c>
      <c r="C30" s="136">
        <v>0</v>
      </c>
      <c r="D30" s="136">
        <v>0</v>
      </c>
    </row>
    <row r="31" spans="1:4" x14ac:dyDescent="0.25">
      <c r="A31" s="51" t="s">
        <v>188</v>
      </c>
      <c r="B31" s="136">
        <v>1002500</v>
      </c>
      <c r="C31" s="136">
        <v>22700.799999999999</v>
      </c>
      <c r="D31" s="136">
        <v>22700.799999999999</v>
      </c>
    </row>
    <row r="32" spans="1:4" x14ac:dyDescent="0.25">
      <c r="A32" s="52"/>
      <c r="B32" s="52"/>
      <c r="C32" s="52"/>
      <c r="D32" s="52"/>
    </row>
    <row r="33" spans="1:4" x14ac:dyDescent="0.25">
      <c r="A33" s="53" t="s">
        <v>189</v>
      </c>
      <c r="B33" s="139">
        <f>B25+B29</f>
        <v>-129080515.52999994</v>
      </c>
      <c r="C33" s="139">
        <f>C25+C29</f>
        <v>78382666.569999978</v>
      </c>
      <c r="D33" s="139">
        <f>D25+D29</f>
        <v>111130181.28000002</v>
      </c>
    </row>
    <row r="34" spans="1:4" x14ac:dyDescent="0.25">
      <c r="A34" s="56"/>
      <c r="B34" s="56"/>
      <c r="C34" s="56"/>
      <c r="D34" s="56"/>
    </row>
    <row r="35" spans="1:4" x14ac:dyDescent="0.25">
      <c r="A35" s="81"/>
    </row>
    <row r="36" spans="1:4" ht="30" x14ac:dyDescent="0.25">
      <c r="A36" s="107" t="s">
        <v>183</v>
      </c>
      <c r="B36" s="43" t="s">
        <v>190</v>
      </c>
      <c r="C36" s="43" t="s">
        <v>167</v>
      </c>
      <c r="D36" s="43" t="s">
        <v>182</v>
      </c>
    </row>
    <row r="37" spans="1:4" x14ac:dyDescent="0.25">
      <c r="A37" s="53" t="s">
        <v>191</v>
      </c>
      <c r="B37" s="139">
        <f>B38+B39</f>
        <v>15000000</v>
      </c>
      <c r="C37" s="139">
        <f>C38+C39</f>
        <v>0</v>
      </c>
      <c r="D37" s="139">
        <f>D38+D39</f>
        <v>0</v>
      </c>
    </row>
    <row r="38" spans="1:4" x14ac:dyDescent="0.25">
      <c r="A38" s="51" t="s">
        <v>192</v>
      </c>
      <c r="B38" s="136">
        <v>15000000</v>
      </c>
      <c r="C38" s="136">
        <v>0</v>
      </c>
      <c r="D38" s="136">
        <v>0</v>
      </c>
    </row>
    <row r="39" spans="1:4" x14ac:dyDescent="0.25">
      <c r="A39" s="51" t="s">
        <v>193</v>
      </c>
      <c r="B39" s="136">
        <v>0</v>
      </c>
      <c r="C39" s="136">
        <v>0</v>
      </c>
      <c r="D39" s="136">
        <v>0</v>
      </c>
    </row>
    <row r="40" spans="1:4" x14ac:dyDescent="0.25">
      <c r="A40" s="53" t="s">
        <v>194</v>
      </c>
      <c r="B40" s="139">
        <f>B41+B42</f>
        <v>3020962.09</v>
      </c>
      <c r="C40" s="139">
        <f>C41+C42</f>
        <v>808462.2</v>
      </c>
      <c r="D40" s="139">
        <f>D41+D42</f>
        <v>808462.2</v>
      </c>
    </row>
    <row r="41" spans="1:4" x14ac:dyDescent="0.25">
      <c r="A41" s="51" t="s">
        <v>195</v>
      </c>
      <c r="B41" s="136">
        <v>0</v>
      </c>
      <c r="C41" s="136">
        <v>0</v>
      </c>
      <c r="D41" s="136">
        <v>0</v>
      </c>
    </row>
    <row r="42" spans="1:4" x14ac:dyDescent="0.25">
      <c r="A42" s="51" t="s">
        <v>196</v>
      </c>
      <c r="B42" s="136">
        <v>3020962.09</v>
      </c>
      <c r="C42" s="136">
        <v>808462.2</v>
      </c>
      <c r="D42" s="136">
        <v>808462.2</v>
      </c>
    </row>
    <row r="43" spans="1:4" x14ac:dyDescent="0.25">
      <c r="A43" s="52"/>
      <c r="B43" s="52"/>
      <c r="C43" s="52"/>
      <c r="D43" s="52"/>
    </row>
    <row r="44" spans="1:4" x14ac:dyDescent="0.25">
      <c r="A44" s="53" t="s">
        <v>197</v>
      </c>
      <c r="B44" s="139">
        <f>B37-B40</f>
        <v>11979037.91</v>
      </c>
      <c r="C44" s="139">
        <f>C37-C40</f>
        <v>-808462.2</v>
      </c>
      <c r="D44" s="139">
        <f>D37-D40</f>
        <v>-808462.2</v>
      </c>
    </row>
    <row r="45" spans="1:4" x14ac:dyDescent="0.25">
      <c r="A45" s="131"/>
      <c r="B45" s="56"/>
      <c r="C45" s="56"/>
      <c r="D45" s="56"/>
    </row>
    <row r="46" spans="1:4" x14ac:dyDescent="0.25"/>
    <row r="47" spans="1:4" ht="30" x14ac:dyDescent="0.25">
      <c r="A47" s="107" t="s">
        <v>183</v>
      </c>
      <c r="B47" s="43" t="s">
        <v>190</v>
      </c>
      <c r="C47" s="43" t="s">
        <v>167</v>
      </c>
      <c r="D47" s="43" t="s">
        <v>182</v>
      </c>
    </row>
    <row r="48" spans="1:4" x14ac:dyDescent="0.25">
      <c r="A48" s="114" t="s">
        <v>198</v>
      </c>
      <c r="B48" s="147">
        <f>B9</f>
        <v>165079691.78</v>
      </c>
      <c r="C48" s="147">
        <f>C9</f>
        <v>187988678.62000003</v>
      </c>
      <c r="D48" s="147">
        <f>D9</f>
        <v>187988678.62000003</v>
      </c>
    </row>
    <row r="49" spans="1:4" x14ac:dyDescent="0.25">
      <c r="A49" s="115" t="s">
        <v>199</v>
      </c>
      <c r="B49" s="139">
        <f>B50-B51</f>
        <v>0</v>
      </c>
      <c r="C49" s="139">
        <f>C50-C51</f>
        <v>0</v>
      </c>
      <c r="D49" s="139">
        <f>D50-D51</f>
        <v>0</v>
      </c>
    </row>
    <row r="50" spans="1:4" x14ac:dyDescent="0.25">
      <c r="A50" s="116" t="s">
        <v>192</v>
      </c>
      <c r="B50" s="136">
        <v>0</v>
      </c>
      <c r="C50" s="136">
        <v>0</v>
      </c>
      <c r="D50" s="136">
        <v>0</v>
      </c>
    </row>
    <row r="51" spans="1:4" x14ac:dyDescent="0.25">
      <c r="A51" s="116" t="s">
        <v>195</v>
      </c>
      <c r="B51" s="136">
        <v>0</v>
      </c>
      <c r="C51" s="136">
        <v>0</v>
      </c>
      <c r="D51" s="136">
        <v>0</v>
      </c>
    </row>
    <row r="52" spans="1:4" x14ac:dyDescent="0.25">
      <c r="A52" s="52"/>
      <c r="B52" s="52"/>
      <c r="C52" s="52"/>
      <c r="D52" s="52"/>
    </row>
    <row r="53" spans="1:4" x14ac:dyDescent="0.25">
      <c r="A53" s="51" t="s">
        <v>172</v>
      </c>
      <c r="B53" s="137">
        <f>B14</f>
        <v>183648966.06999999</v>
      </c>
      <c r="C53" s="137">
        <f>C14</f>
        <v>163729064.36000001</v>
      </c>
      <c r="D53" s="137">
        <f>D14</f>
        <v>157032395.75999999</v>
      </c>
    </row>
    <row r="54" spans="1:4" x14ac:dyDescent="0.25">
      <c r="A54" s="52"/>
      <c r="B54" s="52"/>
      <c r="C54" s="52"/>
      <c r="D54" s="52"/>
    </row>
    <row r="55" spans="1:4" x14ac:dyDescent="0.25">
      <c r="A55" s="51" t="s">
        <v>175</v>
      </c>
      <c r="B55" s="113">
        <f>B18</f>
        <v>0</v>
      </c>
      <c r="C55" s="137">
        <f>C18</f>
        <v>8024829.0700000003</v>
      </c>
      <c r="D55" s="137">
        <f>D18</f>
        <v>8024829.0700000003</v>
      </c>
    </row>
    <row r="56" spans="1:4" x14ac:dyDescent="0.25">
      <c r="A56" s="52"/>
      <c r="B56" s="52"/>
      <c r="C56" s="52"/>
      <c r="D56" s="52"/>
    </row>
    <row r="57" spans="1:4" ht="32.25" customHeight="1" x14ac:dyDescent="0.25">
      <c r="A57" s="110" t="s">
        <v>201</v>
      </c>
      <c r="B57" s="139">
        <f>B48+B49-B53+B55</f>
        <v>-18569274.289999992</v>
      </c>
      <c r="C57" s="139">
        <f>C48+C49-C53+C55</f>
        <v>32284443.330000021</v>
      </c>
      <c r="D57" s="139">
        <f>D48+D49-D53+D55</f>
        <v>38981111.930000044</v>
      </c>
    </row>
    <row r="58" spans="1:4" x14ac:dyDescent="0.25">
      <c r="A58" s="60"/>
      <c r="B58" s="60"/>
      <c r="C58" s="60"/>
      <c r="D58" s="60"/>
    </row>
    <row r="59" spans="1:4" ht="30" customHeight="1" x14ac:dyDescent="0.25">
      <c r="A59" s="110" t="s">
        <v>200</v>
      </c>
      <c r="B59" s="139">
        <f>B57-B49</f>
        <v>-18569274.289999992</v>
      </c>
      <c r="C59" s="139">
        <f>C57-C49</f>
        <v>32284443.330000021</v>
      </c>
      <c r="D59" s="139">
        <f>D57-D49</f>
        <v>38981111.930000044</v>
      </c>
    </row>
    <row r="60" spans="1:4" x14ac:dyDescent="0.25">
      <c r="A60" s="56"/>
      <c r="B60" s="56"/>
      <c r="C60" s="56"/>
      <c r="D60" s="56"/>
    </row>
    <row r="61" spans="1:4" x14ac:dyDescent="0.25"/>
    <row r="62" spans="1:4" ht="30" x14ac:dyDescent="0.25">
      <c r="A62" s="107" t="s">
        <v>183</v>
      </c>
      <c r="B62" s="43" t="s">
        <v>190</v>
      </c>
      <c r="C62" s="43" t="s">
        <v>167</v>
      </c>
      <c r="D62" s="43" t="s">
        <v>182</v>
      </c>
    </row>
    <row r="63" spans="1:4" x14ac:dyDescent="0.25">
      <c r="A63" s="114" t="s">
        <v>170</v>
      </c>
      <c r="B63" s="148">
        <f>B10</f>
        <v>324070130.79000002</v>
      </c>
      <c r="C63" s="148">
        <f>C10</f>
        <v>233008331.41999999</v>
      </c>
      <c r="D63" s="148">
        <f>D10</f>
        <v>233008331.41999999</v>
      </c>
    </row>
    <row r="64" spans="1:4" ht="30" x14ac:dyDescent="0.25">
      <c r="A64" s="115" t="s">
        <v>202</v>
      </c>
      <c r="B64" s="146">
        <f>B65-B66</f>
        <v>-3020962.09</v>
      </c>
      <c r="C64" s="146">
        <f>C65-C66</f>
        <v>-808462.2</v>
      </c>
      <c r="D64" s="146">
        <f>D65-D66</f>
        <v>-808462.2</v>
      </c>
    </row>
    <row r="65" spans="1:4" x14ac:dyDescent="0.25">
      <c r="A65" s="116" t="s">
        <v>193</v>
      </c>
      <c r="B65" s="136">
        <v>0</v>
      </c>
      <c r="C65" s="136">
        <v>0</v>
      </c>
      <c r="D65" s="136">
        <v>0</v>
      </c>
    </row>
    <row r="66" spans="1:4" x14ac:dyDescent="0.25">
      <c r="A66" s="116" t="s">
        <v>196</v>
      </c>
      <c r="B66" s="136">
        <v>3020962.09</v>
      </c>
      <c r="C66" s="136">
        <v>808462.2</v>
      </c>
      <c r="D66" s="136">
        <v>808462.2</v>
      </c>
    </row>
    <row r="67" spans="1:4" x14ac:dyDescent="0.25">
      <c r="A67" s="52"/>
      <c r="B67" s="12"/>
      <c r="C67" s="12"/>
      <c r="D67" s="12"/>
    </row>
    <row r="68" spans="1:4" x14ac:dyDescent="0.25">
      <c r="A68" s="51" t="s">
        <v>203</v>
      </c>
      <c r="B68" s="149">
        <f>B15</f>
        <v>435583872.03000003</v>
      </c>
      <c r="C68" s="149">
        <f>C15</f>
        <v>178907979.91000003</v>
      </c>
      <c r="D68" s="149">
        <f>D15</f>
        <v>152857133.80000001</v>
      </c>
    </row>
    <row r="69" spans="1:4" x14ac:dyDescent="0.25">
      <c r="A69" s="52"/>
      <c r="B69" s="12"/>
      <c r="C69" s="12"/>
      <c r="D69" s="12"/>
    </row>
    <row r="70" spans="1:4" x14ac:dyDescent="0.25">
      <c r="A70" s="51" t="s">
        <v>176</v>
      </c>
      <c r="B70" s="112">
        <f>B19</f>
        <v>0</v>
      </c>
      <c r="C70" s="149">
        <f>C19</f>
        <v>68863129.409999996</v>
      </c>
      <c r="D70" s="149">
        <f>D19</f>
        <v>68863129.409999996</v>
      </c>
    </row>
    <row r="71" spans="1:4" x14ac:dyDescent="0.25">
      <c r="A71" s="52"/>
      <c r="B71" s="12"/>
      <c r="C71" s="12"/>
      <c r="D71" s="12"/>
    </row>
    <row r="72" spans="1:4" ht="30" customHeight="1" x14ac:dyDescent="0.25">
      <c r="A72" s="110" t="s">
        <v>205</v>
      </c>
      <c r="B72" s="146">
        <f>B63+B64-B68+B70</f>
        <v>-114534703.32999998</v>
      </c>
      <c r="C72" s="146">
        <f>C63+C64-C68+C70</f>
        <v>122155018.71999997</v>
      </c>
      <c r="D72" s="146">
        <f>D63+D64-D68+D70</f>
        <v>148205864.82999998</v>
      </c>
    </row>
    <row r="73" spans="1:4" x14ac:dyDescent="0.25">
      <c r="A73" s="52"/>
      <c r="B73" s="12"/>
      <c r="C73" s="12"/>
      <c r="D73" s="12"/>
    </row>
    <row r="74" spans="1:4" ht="30" customHeight="1" x14ac:dyDescent="0.25">
      <c r="A74" s="110" t="s">
        <v>204</v>
      </c>
      <c r="B74" s="146">
        <f>B72-B64</f>
        <v>-111513741.23999998</v>
      </c>
      <c r="C74" s="146">
        <f>C72-C64</f>
        <v>122963480.91999997</v>
      </c>
      <c r="D74" s="146">
        <f>D72-D64</f>
        <v>149014327.02999997</v>
      </c>
    </row>
    <row r="75" spans="1:4" x14ac:dyDescent="0.25">
      <c r="A75" s="56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501128860.48000008</v>
      </c>
      <c r="Q2" s="18">
        <f>'Formato 4'!C8</f>
        <v>420188547.84000003</v>
      </c>
      <c r="R2" s="18">
        <f>'Formato 4'!D8</f>
        <v>420188547.84000003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165079691.78</v>
      </c>
      <c r="Q3" s="18">
        <f>'Formato 4'!C9</f>
        <v>187988678.62000003</v>
      </c>
      <c r="R3" s="18">
        <f>'Formato 4'!D9</f>
        <v>187988678.62000003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324070130.79000002</v>
      </c>
      <c r="Q4" s="18">
        <f>'Formato 4'!C10</f>
        <v>233008331.41999999</v>
      </c>
      <c r="R4" s="18">
        <f>'Formato 4'!D10</f>
        <v>233008331.41999999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11979037.91</v>
      </c>
      <c r="Q5" s="18">
        <f>'Formato 4'!C11</f>
        <v>-808462.2</v>
      </c>
      <c r="R5" s="18">
        <f>'Formato 4'!D11</f>
        <v>-808462.2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619232838.10000002</v>
      </c>
      <c r="Q6" s="18">
        <f>'Formato 4'!C13</f>
        <v>342637044.27000004</v>
      </c>
      <c r="R6" s="18">
        <f>'Formato 4'!D13</f>
        <v>309889529.56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183648966.06999999</v>
      </c>
      <c r="Q7" s="18">
        <f>'Formato 4'!C14</f>
        <v>163729064.36000001</v>
      </c>
      <c r="R7" s="18">
        <f>'Formato 4'!D14</f>
        <v>157032395.75999999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435583872.03000003</v>
      </c>
      <c r="Q8" s="18">
        <f>'Formato 4'!C15</f>
        <v>178907979.91000003</v>
      </c>
      <c r="R8" s="18">
        <f>'Formato 4'!D15</f>
        <v>152857133.80000001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76887958.479999989</v>
      </c>
      <c r="R9" s="18">
        <f>'Formato 4'!D17</f>
        <v>76887958.479999989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8024829.0700000003</v>
      </c>
      <c r="R10" s="18">
        <f>'Formato 4'!D18</f>
        <v>8024829.0700000003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68863129.409999996</v>
      </c>
      <c r="R11" s="18">
        <f>'Formato 4'!D19</f>
        <v>68863129.409999996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-118103977.61999995</v>
      </c>
      <c r="Q12" s="18">
        <f>'Formato 4'!C21</f>
        <v>154439462.04999998</v>
      </c>
      <c r="R12" s="18">
        <f>'Formato 4'!D21</f>
        <v>187186976.76000002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-130083015.52999994</v>
      </c>
      <c r="Q13" s="18">
        <f>'Formato 4'!C23</f>
        <v>155247924.24999997</v>
      </c>
      <c r="R13" s="18">
        <f>'Formato 4'!D23</f>
        <v>187995438.96000001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-130083015.52999994</v>
      </c>
      <c r="Q14" s="18">
        <f>'Formato 4'!C25</f>
        <v>78359965.769999981</v>
      </c>
      <c r="R14" s="18">
        <f>'Formato 4'!D25</f>
        <v>111107480.48000002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1002500</v>
      </c>
      <c r="Q15">
        <f>'Formato 4'!C29</f>
        <v>22700.799999999999</v>
      </c>
      <c r="R15">
        <f>'Formato 4'!D29</f>
        <v>22700.799999999999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1002500</v>
      </c>
      <c r="Q17">
        <f>'Formato 4'!C31</f>
        <v>22700.799999999999</v>
      </c>
      <c r="R17">
        <f>'Formato 4'!D31</f>
        <v>22700.799999999999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-129080515.52999994</v>
      </c>
      <c r="Q18">
        <f>'Formato 4'!C33</f>
        <v>78382666.569999978</v>
      </c>
      <c r="R18">
        <f>'Formato 4'!D33</f>
        <v>111130181.28000002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15000000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15000000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3020962.09</v>
      </c>
      <c r="Q22">
        <f>'Formato 4'!C40</f>
        <v>808462.2</v>
      </c>
      <c r="R22">
        <f>'Formato 4'!D40</f>
        <v>808462.2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3020962.09</v>
      </c>
      <c r="Q24">
        <f>'Formato 4'!C42</f>
        <v>808462.2</v>
      </c>
      <c r="R24">
        <f>'Formato 4'!D42</f>
        <v>808462.2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11979037.91</v>
      </c>
      <c r="Q25">
        <f>'Formato 4'!C44</f>
        <v>-808462.2</v>
      </c>
      <c r="R25">
        <f>'Formato 4'!D44</f>
        <v>-808462.2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165079691.78</v>
      </c>
      <c r="Q26">
        <f>'Formato 4'!C48</f>
        <v>187988678.62000003</v>
      </c>
      <c r="R26">
        <f>'Formato 4'!D48</f>
        <v>187988678.62000003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183648966.06999999</v>
      </c>
      <c r="Q30">
        <f>'Formato 4'!C53</f>
        <v>163729064.36000001</v>
      </c>
      <c r="R30">
        <f>'Formato 4'!D53</f>
        <v>157032395.75999999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8024829.0700000003</v>
      </c>
      <c r="R31">
        <f>'Formato 4'!D55</f>
        <v>8024829.0700000003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324070130.79000002</v>
      </c>
      <c r="Q32">
        <f>'Formato 4'!C63</f>
        <v>233008331.41999999</v>
      </c>
      <c r="R32">
        <f>'Formato 4'!D63</f>
        <v>233008331.41999999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-3020962.09</v>
      </c>
      <c r="Q33">
        <f>'Formato 4'!C64</f>
        <v>-808462.2</v>
      </c>
      <c r="R33">
        <f>'Formato 4'!D64</f>
        <v>-808462.2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3020962.09</v>
      </c>
      <c r="Q35">
        <f>'Formato 4'!C66</f>
        <v>808462.2</v>
      </c>
      <c r="R35">
        <f>'Formato 4'!D66</f>
        <v>808462.2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435583872.03000003</v>
      </c>
      <c r="Q36">
        <f>'Formato 4'!C68</f>
        <v>178907979.91000003</v>
      </c>
      <c r="R36">
        <f>'Formato 4'!D68</f>
        <v>152857133.80000001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68863129.409999996</v>
      </c>
      <c r="R37">
        <f>'Formato 4'!D70</f>
        <v>68863129.409999996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-114534703.32999998</v>
      </c>
      <c r="Q38">
        <f>'Formato 4'!C72</f>
        <v>122155018.71999997</v>
      </c>
      <c r="R38">
        <f>'Formato 4'!D72</f>
        <v>148205864.82999998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-111513741.23999998</v>
      </c>
      <c r="Q39">
        <f>'Formato 4'!C74</f>
        <v>122963480.91999997</v>
      </c>
      <c r="R39">
        <f>'Formato 4'!D74</f>
        <v>149014327.02999997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XFD10485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2" customFormat="1" ht="37.5" customHeight="1" x14ac:dyDescent="0.25">
      <c r="A1" s="203" t="s">
        <v>206</v>
      </c>
      <c r="B1" s="203"/>
      <c r="C1" s="203"/>
      <c r="D1" s="203"/>
      <c r="E1" s="203"/>
      <c r="F1" s="203"/>
      <c r="G1" s="203"/>
    </row>
    <row r="2" spans="1:8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6"/>
      <c r="G2" s="187"/>
    </row>
    <row r="3" spans="1:8" x14ac:dyDescent="0.25">
      <c r="A3" s="188" t="s">
        <v>207</v>
      </c>
      <c r="B3" s="189"/>
      <c r="C3" s="189"/>
      <c r="D3" s="189"/>
      <c r="E3" s="189"/>
      <c r="F3" s="189"/>
      <c r="G3" s="190"/>
    </row>
    <row r="4" spans="1:8" x14ac:dyDescent="0.25">
      <c r="A4" s="191" t="str">
        <f>TRIMESTRE</f>
        <v>Del 1 de enero al 31 de diciembre de 2017 (b)</v>
      </c>
      <c r="B4" s="192"/>
      <c r="C4" s="192"/>
      <c r="D4" s="192"/>
      <c r="E4" s="192"/>
      <c r="F4" s="192"/>
      <c r="G4" s="193"/>
    </row>
    <row r="5" spans="1:8" x14ac:dyDescent="0.25">
      <c r="A5" s="194" t="s">
        <v>118</v>
      </c>
      <c r="B5" s="195"/>
      <c r="C5" s="195"/>
      <c r="D5" s="195"/>
      <c r="E5" s="195"/>
      <c r="F5" s="195"/>
      <c r="G5" s="196"/>
    </row>
    <row r="6" spans="1:8" x14ac:dyDescent="0.25">
      <c r="A6" s="200" t="s">
        <v>214</v>
      </c>
      <c r="B6" s="202" t="s">
        <v>208</v>
      </c>
      <c r="C6" s="202"/>
      <c r="D6" s="202"/>
      <c r="E6" s="202"/>
      <c r="F6" s="202"/>
      <c r="G6" s="202" t="s">
        <v>209</v>
      </c>
    </row>
    <row r="7" spans="1:8" ht="30" x14ac:dyDescent="0.25">
      <c r="A7" s="201"/>
      <c r="B7" s="44" t="s">
        <v>210</v>
      </c>
      <c r="C7" s="43" t="s">
        <v>211</v>
      </c>
      <c r="D7" s="44" t="s">
        <v>212</v>
      </c>
      <c r="E7" s="44" t="s">
        <v>167</v>
      </c>
      <c r="F7" s="44" t="s">
        <v>213</v>
      </c>
      <c r="G7" s="202"/>
    </row>
    <row r="8" spans="1:8" x14ac:dyDescent="0.25">
      <c r="A8" s="50" t="s">
        <v>215</v>
      </c>
      <c r="B8" s="12"/>
      <c r="C8" s="12"/>
      <c r="D8" s="12"/>
      <c r="E8" s="12"/>
      <c r="F8" s="12"/>
      <c r="G8" s="12"/>
    </row>
    <row r="9" spans="1:8" x14ac:dyDescent="0.25">
      <c r="A9" s="51" t="s">
        <v>216</v>
      </c>
      <c r="B9" s="136">
        <v>15532185</v>
      </c>
      <c r="C9" s="136">
        <f>D9-B9</f>
        <v>1570000</v>
      </c>
      <c r="D9" s="136">
        <v>17102185</v>
      </c>
      <c r="E9" s="136">
        <v>17418028.440000001</v>
      </c>
      <c r="F9" s="136">
        <v>17418028.440000001</v>
      </c>
      <c r="G9" s="136">
        <f>E9-B9</f>
        <v>1885843.4400000013</v>
      </c>
      <c r="H9" s="8"/>
    </row>
    <row r="10" spans="1:8" x14ac:dyDescent="0.25">
      <c r="A10" s="51" t="s">
        <v>217</v>
      </c>
      <c r="B10" s="136">
        <v>0</v>
      </c>
      <c r="C10" s="136">
        <f t="shared" ref="C10:C15" si="0">D10-B10</f>
        <v>0</v>
      </c>
      <c r="D10" s="136">
        <v>0</v>
      </c>
      <c r="E10" s="136">
        <v>0</v>
      </c>
      <c r="F10" s="136">
        <v>0</v>
      </c>
      <c r="G10" s="136">
        <f t="shared" ref="G10:G15" si="1">E10-B10</f>
        <v>0</v>
      </c>
    </row>
    <row r="11" spans="1:8" x14ac:dyDescent="0.25">
      <c r="A11" s="51" t="s">
        <v>218</v>
      </c>
      <c r="B11" s="136">
        <v>165510</v>
      </c>
      <c r="C11" s="136">
        <f t="shared" si="0"/>
        <v>954000</v>
      </c>
      <c r="D11" s="136">
        <v>1119510</v>
      </c>
      <c r="E11" s="136">
        <v>304400</v>
      </c>
      <c r="F11" s="136">
        <v>304400</v>
      </c>
      <c r="G11" s="136">
        <f t="shared" si="1"/>
        <v>138890</v>
      </c>
    </row>
    <row r="12" spans="1:8" x14ac:dyDescent="0.25">
      <c r="A12" s="51" t="s">
        <v>219</v>
      </c>
      <c r="B12" s="136">
        <v>19579899</v>
      </c>
      <c r="C12" s="136">
        <f t="shared" si="0"/>
        <v>4327598</v>
      </c>
      <c r="D12" s="136">
        <v>23907497</v>
      </c>
      <c r="E12" s="136">
        <v>23896599.329999998</v>
      </c>
      <c r="F12" s="136">
        <v>23896599.329999998</v>
      </c>
      <c r="G12" s="136">
        <f t="shared" si="1"/>
        <v>4316700.3299999982</v>
      </c>
    </row>
    <row r="13" spans="1:8" x14ac:dyDescent="0.25">
      <c r="A13" s="51" t="s">
        <v>220</v>
      </c>
      <c r="B13" s="136">
        <v>2778279</v>
      </c>
      <c r="C13" s="136">
        <f t="shared" si="0"/>
        <v>580000</v>
      </c>
      <c r="D13" s="136">
        <v>3358279</v>
      </c>
      <c r="E13" s="136">
        <v>3596206.82</v>
      </c>
      <c r="F13" s="136">
        <v>3596206.82</v>
      </c>
      <c r="G13" s="136">
        <f t="shared" si="1"/>
        <v>817927.81999999983</v>
      </c>
    </row>
    <row r="14" spans="1:8" x14ac:dyDescent="0.25">
      <c r="A14" s="51" t="s">
        <v>221</v>
      </c>
      <c r="B14" s="136">
        <v>2967027</v>
      </c>
      <c r="C14" s="136">
        <f t="shared" si="0"/>
        <v>-1190000</v>
      </c>
      <c r="D14" s="136">
        <v>1777027</v>
      </c>
      <c r="E14" s="136">
        <v>1771060.76</v>
      </c>
      <c r="F14" s="136">
        <v>1771060.76</v>
      </c>
      <c r="G14" s="136">
        <f t="shared" si="1"/>
        <v>-1195966.24</v>
      </c>
    </row>
    <row r="15" spans="1:8" x14ac:dyDescent="0.25">
      <c r="A15" s="51" t="s">
        <v>222</v>
      </c>
      <c r="B15" s="136">
        <v>0</v>
      </c>
      <c r="C15" s="136">
        <f t="shared" si="0"/>
        <v>0</v>
      </c>
      <c r="D15" s="136">
        <v>0</v>
      </c>
      <c r="E15" s="136">
        <v>0</v>
      </c>
      <c r="F15" s="136">
        <v>0</v>
      </c>
      <c r="G15" s="136">
        <f t="shared" si="1"/>
        <v>0</v>
      </c>
    </row>
    <row r="16" spans="1:8" x14ac:dyDescent="0.25">
      <c r="A16" s="10" t="s">
        <v>275</v>
      </c>
      <c r="B16" s="137">
        <f t="shared" ref="B16:G16" si="2">SUM(B17:B27)</f>
        <v>117554018</v>
      </c>
      <c r="C16" s="137">
        <f t="shared" si="2"/>
        <v>11033161.279999999</v>
      </c>
      <c r="D16" s="137">
        <f t="shared" si="2"/>
        <v>128587179.28</v>
      </c>
      <c r="E16" s="137">
        <f t="shared" si="2"/>
        <v>133446883.19000001</v>
      </c>
      <c r="F16" s="137">
        <f t="shared" si="2"/>
        <v>133446883.19000001</v>
      </c>
      <c r="G16" s="137">
        <f t="shared" si="2"/>
        <v>15892865.190000003</v>
      </c>
    </row>
    <row r="17" spans="1:7" x14ac:dyDescent="0.25">
      <c r="A17" s="61" t="s">
        <v>223</v>
      </c>
      <c r="B17" s="136">
        <v>79464803</v>
      </c>
      <c r="C17" s="136">
        <f t="shared" ref="C17:C27" si="3">D17-B17</f>
        <v>5970888</v>
      </c>
      <c r="D17" s="136">
        <v>85435691</v>
      </c>
      <c r="E17" s="136">
        <v>88929565.420000002</v>
      </c>
      <c r="F17" s="136">
        <v>88929565.420000002</v>
      </c>
      <c r="G17" s="136">
        <f t="shared" ref="G17:G27" si="4">E17-B17</f>
        <v>9464762.4200000018</v>
      </c>
    </row>
    <row r="18" spans="1:7" x14ac:dyDescent="0.25">
      <c r="A18" s="61" t="s">
        <v>224</v>
      </c>
      <c r="B18" s="136">
        <v>20381265</v>
      </c>
      <c r="C18" s="136">
        <f t="shared" si="3"/>
        <v>985346</v>
      </c>
      <c r="D18" s="136">
        <v>21366611</v>
      </c>
      <c r="E18" s="136">
        <v>21697248.640000001</v>
      </c>
      <c r="F18" s="136">
        <v>21697248.640000001</v>
      </c>
      <c r="G18" s="136">
        <f t="shared" si="4"/>
        <v>1315983.6400000006</v>
      </c>
    </row>
    <row r="19" spans="1:7" x14ac:dyDescent="0.25">
      <c r="A19" s="61" t="s">
        <v>225</v>
      </c>
      <c r="B19" s="136">
        <v>5575057</v>
      </c>
      <c r="C19" s="136">
        <f t="shared" si="3"/>
        <v>1187861</v>
      </c>
      <c r="D19" s="136">
        <v>6762918</v>
      </c>
      <c r="E19" s="136">
        <v>6738494.1500000004</v>
      </c>
      <c r="F19" s="136">
        <v>6738494.1500000004</v>
      </c>
      <c r="G19" s="136">
        <f t="shared" si="4"/>
        <v>1163437.1500000004</v>
      </c>
    </row>
    <row r="20" spans="1:7" x14ac:dyDescent="0.25">
      <c r="A20" s="61" t="s">
        <v>226</v>
      </c>
      <c r="B20" s="136">
        <v>0</v>
      </c>
      <c r="C20" s="136">
        <f t="shared" si="3"/>
        <v>0</v>
      </c>
      <c r="D20" s="136">
        <v>0</v>
      </c>
      <c r="E20" s="136">
        <v>0</v>
      </c>
      <c r="F20" s="136">
        <v>0</v>
      </c>
      <c r="G20" s="136">
        <f t="shared" si="4"/>
        <v>0</v>
      </c>
    </row>
    <row r="21" spans="1:7" x14ac:dyDescent="0.25">
      <c r="A21" s="61" t="s">
        <v>227</v>
      </c>
      <c r="B21" s="136">
        <v>0</v>
      </c>
      <c r="C21" s="136">
        <f t="shared" si="3"/>
        <v>0</v>
      </c>
      <c r="D21" s="136">
        <v>0</v>
      </c>
      <c r="E21" s="136">
        <v>0</v>
      </c>
      <c r="F21" s="136">
        <v>0</v>
      </c>
      <c r="G21" s="136">
        <f t="shared" si="4"/>
        <v>0</v>
      </c>
    </row>
    <row r="22" spans="1:7" x14ac:dyDescent="0.25">
      <c r="A22" s="61" t="s">
        <v>228</v>
      </c>
      <c r="B22" s="136">
        <v>1762376</v>
      </c>
      <c r="C22" s="136">
        <f t="shared" si="3"/>
        <v>926859</v>
      </c>
      <c r="D22" s="136">
        <v>2689235</v>
      </c>
      <c r="E22" s="136">
        <v>2705424.67</v>
      </c>
      <c r="F22" s="136">
        <v>2705424.67</v>
      </c>
      <c r="G22" s="136">
        <f t="shared" si="4"/>
        <v>943048.66999999993</v>
      </c>
    </row>
    <row r="23" spans="1:7" x14ac:dyDescent="0.25">
      <c r="A23" s="61" t="s">
        <v>229</v>
      </c>
      <c r="B23" s="136">
        <v>0</v>
      </c>
      <c r="C23" s="136">
        <f t="shared" si="3"/>
        <v>0</v>
      </c>
      <c r="D23" s="136">
        <v>0</v>
      </c>
      <c r="E23" s="136">
        <v>0</v>
      </c>
      <c r="F23" s="136">
        <v>0</v>
      </c>
      <c r="G23" s="136">
        <f t="shared" si="4"/>
        <v>0</v>
      </c>
    </row>
    <row r="24" spans="1:7" x14ac:dyDescent="0.25">
      <c r="A24" s="61" t="s">
        <v>230</v>
      </c>
      <c r="B24" s="136">
        <v>0</v>
      </c>
      <c r="C24" s="136">
        <f t="shared" si="3"/>
        <v>0</v>
      </c>
      <c r="D24" s="136">
        <v>0</v>
      </c>
      <c r="E24" s="136">
        <v>0</v>
      </c>
      <c r="F24" s="136">
        <v>0</v>
      </c>
      <c r="G24" s="136">
        <f t="shared" si="4"/>
        <v>0</v>
      </c>
    </row>
    <row r="25" spans="1:7" x14ac:dyDescent="0.25">
      <c r="A25" s="61" t="s">
        <v>231</v>
      </c>
      <c r="B25" s="136">
        <v>4370517</v>
      </c>
      <c r="C25" s="136">
        <f t="shared" si="3"/>
        <v>-527499</v>
      </c>
      <c r="D25" s="136">
        <v>3843018</v>
      </c>
      <c r="E25" s="136">
        <v>4075012.31</v>
      </c>
      <c r="F25" s="136">
        <v>4075012.31</v>
      </c>
      <c r="G25" s="136">
        <f t="shared" si="4"/>
        <v>-295504.68999999994</v>
      </c>
    </row>
    <row r="26" spans="1:7" x14ac:dyDescent="0.25">
      <c r="A26" s="61" t="s">
        <v>232</v>
      </c>
      <c r="B26" s="136">
        <v>6000000</v>
      </c>
      <c r="C26" s="136">
        <f t="shared" si="3"/>
        <v>2489706.2799999993</v>
      </c>
      <c r="D26" s="136">
        <v>8489706.2799999993</v>
      </c>
      <c r="E26" s="136">
        <v>9301138</v>
      </c>
      <c r="F26" s="136">
        <v>9301138</v>
      </c>
      <c r="G26" s="136">
        <f t="shared" si="4"/>
        <v>3301138</v>
      </c>
    </row>
    <row r="27" spans="1:7" x14ac:dyDescent="0.25">
      <c r="A27" s="61" t="s">
        <v>233</v>
      </c>
      <c r="B27" s="136">
        <v>0</v>
      </c>
      <c r="C27" s="136">
        <f t="shared" si="3"/>
        <v>0</v>
      </c>
      <c r="D27" s="136">
        <v>0</v>
      </c>
      <c r="E27" s="136">
        <v>0</v>
      </c>
      <c r="F27" s="136">
        <v>0</v>
      </c>
      <c r="G27" s="136">
        <f t="shared" si="4"/>
        <v>0</v>
      </c>
    </row>
    <row r="28" spans="1:7" x14ac:dyDescent="0.25">
      <c r="A28" s="51" t="s">
        <v>234</v>
      </c>
      <c r="B28" s="137">
        <f t="shared" ref="B28:G28" si="5">SUM(B29:B33)</f>
        <v>2409842</v>
      </c>
      <c r="C28" s="137">
        <f t="shared" si="5"/>
        <v>303000</v>
      </c>
      <c r="D28" s="137">
        <f t="shared" si="5"/>
        <v>2712842</v>
      </c>
      <c r="E28" s="137">
        <f t="shared" si="5"/>
        <v>2715618.94</v>
      </c>
      <c r="F28" s="137">
        <f t="shared" si="5"/>
        <v>2715618.94</v>
      </c>
      <c r="G28" s="137">
        <f t="shared" si="5"/>
        <v>305776.93999999994</v>
      </c>
    </row>
    <row r="29" spans="1:7" x14ac:dyDescent="0.25">
      <c r="A29" s="61" t="s">
        <v>235</v>
      </c>
      <c r="B29" s="136">
        <v>18952</v>
      </c>
      <c r="C29" s="136">
        <f t="shared" ref="C29:C34" si="6">D29-B29</f>
        <v>15000</v>
      </c>
      <c r="D29" s="136">
        <v>33952</v>
      </c>
      <c r="E29" s="136">
        <v>26752.54</v>
      </c>
      <c r="F29" s="136">
        <v>26752.54</v>
      </c>
      <c r="G29" s="136">
        <f t="shared" ref="G29:G34" si="7">E29-B29</f>
        <v>7800.5400000000009</v>
      </c>
    </row>
    <row r="30" spans="1:7" x14ac:dyDescent="0.25">
      <c r="A30" s="61" t="s">
        <v>236</v>
      </c>
      <c r="B30" s="136">
        <v>246780</v>
      </c>
      <c r="C30" s="136">
        <f t="shared" si="6"/>
        <v>8000</v>
      </c>
      <c r="D30" s="136">
        <v>254780</v>
      </c>
      <c r="E30" s="136">
        <v>252885.48</v>
      </c>
      <c r="F30" s="136">
        <v>252885.48</v>
      </c>
      <c r="G30" s="136">
        <f t="shared" si="7"/>
        <v>6105.4800000000105</v>
      </c>
    </row>
    <row r="31" spans="1:7" x14ac:dyDescent="0.25">
      <c r="A31" s="61" t="s">
        <v>237</v>
      </c>
      <c r="B31" s="136">
        <v>1283022</v>
      </c>
      <c r="C31" s="136">
        <f t="shared" si="6"/>
        <v>370000</v>
      </c>
      <c r="D31" s="136">
        <v>1653022</v>
      </c>
      <c r="E31" s="136">
        <v>1679343.64</v>
      </c>
      <c r="F31" s="136">
        <v>1679343.64</v>
      </c>
      <c r="G31" s="136">
        <f t="shared" si="7"/>
        <v>396321.6399999999</v>
      </c>
    </row>
    <row r="32" spans="1:7" x14ac:dyDescent="0.25">
      <c r="A32" s="61" t="s">
        <v>238</v>
      </c>
      <c r="B32" s="136">
        <v>0</v>
      </c>
      <c r="C32" s="136">
        <f t="shared" si="6"/>
        <v>0</v>
      </c>
      <c r="D32" s="136">
        <v>0</v>
      </c>
      <c r="E32" s="136">
        <v>0</v>
      </c>
      <c r="F32" s="136">
        <v>0</v>
      </c>
      <c r="G32" s="136">
        <f t="shared" si="7"/>
        <v>0</v>
      </c>
    </row>
    <row r="33" spans="1:8" x14ac:dyDescent="0.25">
      <c r="A33" s="61" t="s">
        <v>239</v>
      </c>
      <c r="B33" s="136">
        <v>861088</v>
      </c>
      <c r="C33" s="136">
        <f t="shared" si="6"/>
        <v>-90000</v>
      </c>
      <c r="D33" s="136">
        <v>771088</v>
      </c>
      <c r="E33" s="136">
        <v>756637.28</v>
      </c>
      <c r="F33" s="136">
        <v>756637.28</v>
      </c>
      <c r="G33" s="136">
        <f t="shared" si="7"/>
        <v>-104450.71999999997</v>
      </c>
    </row>
    <row r="34" spans="1:8" x14ac:dyDescent="0.25">
      <c r="A34" s="51" t="s">
        <v>240</v>
      </c>
      <c r="B34" s="136">
        <v>0</v>
      </c>
      <c r="C34" s="136">
        <f t="shared" si="6"/>
        <v>0</v>
      </c>
      <c r="D34" s="136">
        <v>0</v>
      </c>
      <c r="E34" s="136">
        <v>0</v>
      </c>
      <c r="F34" s="136">
        <v>0</v>
      </c>
      <c r="G34" s="136">
        <f t="shared" si="7"/>
        <v>0</v>
      </c>
    </row>
    <row r="35" spans="1:8" x14ac:dyDescent="0.25">
      <c r="A35" s="51" t="s">
        <v>241</v>
      </c>
      <c r="B35" s="137">
        <f>B36</f>
        <v>2592931.7799999998</v>
      </c>
      <c r="C35" s="137">
        <f>C36</f>
        <v>139578.48999999976</v>
      </c>
      <c r="D35" s="137">
        <f>D36</f>
        <v>2732510.2699999996</v>
      </c>
      <c r="E35" s="58">
        <f t="shared" ref="E35" si="8">E36</f>
        <v>2739878.15</v>
      </c>
      <c r="F35" s="137">
        <f>F36</f>
        <v>2739878.15</v>
      </c>
      <c r="G35" s="137">
        <f>G36</f>
        <v>146946.37000000011</v>
      </c>
    </row>
    <row r="36" spans="1:8" x14ac:dyDescent="0.25">
      <c r="A36" s="61" t="s">
        <v>242</v>
      </c>
      <c r="B36" s="136">
        <v>2592931.7799999998</v>
      </c>
      <c r="C36" s="136">
        <f t="shared" ref="C36" si="9">D36-B36</f>
        <v>139578.48999999976</v>
      </c>
      <c r="D36" s="136">
        <v>2732510.2699999996</v>
      </c>
      <c r="E36" s="136">
        <v>2739878.15</v>
      </c>
      <c r="F36" s="136">
        <v>2739878.15</v>
      </c>
      <c r="G36" s="136">
        <f t="shared" ref="G36" si="10">E36-B36</f>
        <v>146946.37000000011</v>
      </c>
    </row>
    <row r="37" spans="1:8" x14ac:dyDescent="0.25">
      <c r="A37" s="51" t="s">
        <v>243</v>
      </c>
      <c r="B37" s="137">
        <f t="shared" ref="B37:G37" si="11">B38+B39</f>
        <v>1500000</v>
      </c>
      <c r="C37" s="137">
        <f t="shared" si="11"/>
        <v>500000</v>
      </c>
      <c r="D37" s="137">
        <f t="shared" si="11"/>
        <v>2000000</v>
      </c>
      <c r="E37" s="137">
        <f t="shared" si="11"/>
        <v>2100002.9900000002</v>
      </c>
      <c r="F37" s="137">
        <f t="shared" si="11"/>
        <v>2100002.9900000002</v>
      </c>
      <c r="G37" s="137">
        <f t="shared" si="11"/>
        <v>600002.99000000022</v>
      </c>
    </row>
    <row r="38" spans="1:8" x14ac:dyDescent="0.25">
      <c r="A38" s="61" t="s">
        <v>244</v>
      </c>
      <c r="B38" s="136">
        <v>0</v>
      </c>
      <c r="C38" s="136">
        <f t="shared" ref="C38:C39" si="12">D38-B38</f>
        <v>0</v>
      </c>
      <c r="D38" s="136">
        <v>0</v>
      </c>
      <c r="E38" s="136">
        <v>0</v>
      </c>
      <c r="F38" s="136">
        <v>0</v>
      </c>
      <c r="G38" s="136">
        <f t="shared" ref="G38:G39" si="13">E38-B38</f>
        <v>0</v>
      </c>
    </row>
    <row r="39" spans="1:8" x14ac:dyDescent="0.25">
      <c r="A39" s="61" t="s">
        <v>245</v>
      </c>
      <c r="B39" s="136">
        <v>1500000</v>
      </c>
      <c r="C39" s="136">
        <f t="shared" si="12"/>
        <v>500000</v>
      </c>
      <c r="D39" s="136">
        <v>2000000</v>
      </c>
      <c r="E39" s="136">
        <v>2100002.9900000002</v>
      </c>
      <c r="F39" s="136">
        <v>2100002.9900000002</v>
      </c>
      <c r="G39" s="136">
        <f t="shared" si="13"/>
        <v>600002.99000000022</v>
      </c>
    </row>
    <row r="40" spans="1:8" x14ac:dyDescent="0.25">
      <c r="A40" s="52"/>
      <c r="B40" s="58"/>
      <c r="C40" s="58"/>
      <c r="D40" s="58"/>
      <c r="E40" s="58"/>
      <c r="F40" s="58"/>
      <c r="G40" s="58"/>
    </row>
    <row r="41" spans="1:8" x14ac:dyDescent="0.25">
      <c r="A41" s="53" t="s">
        <v>276</v>
      </c>
      <c r="B41" s="139">
        <f t="shared" ref="B41:G41" si="14">SUM(B9,B10,B11,B12,B13,B14,B15,B16,B28,B34,B35,B37)</f>
        <v>165079691.78</v>
      </c>
      <c r="C41" s="139">
        <f t="shared" si="14"/>
        <v>18217337.77</v>
      </c>
      <c r="D41" s="139">
        <f t="shared" si="14"/>
        <v>183297029.55000001</v>
      </c>
      <c r="E41" s="139">
        <f t="shared" si="14"/>
        <v>187988678.62000003</v>
      </c>
      <c r="F41" s="139">
        <f t="shared" si="14"/>
        <v>187988678.62000003</v>
      </c>
      <c r="G41" s="139">
        <f t="shared" si="14"/>
        <v>22908986.840000004</v>
      </c>
    </row>
    <row r="42" spans="1:8" x14ac:dyDescent="0.25">
      <c r="A42" s="53" t="s">
        <v>246</v>
      </c>
      <c r="B42" s="117"/>
      <c r="C42" s="117"/>
      <c r="D42" s="117"/>
      <c r="E42" s="117"/>
      <c r="F42" s="117"/>
      <c r="G42" s="59">
        <f>IF(G41&gt;0,G41,0)</f>
        <v>22908986.840000004</v>
      </c>
      <c r="H42" s="8"/>
    </row>
    <row r="43" spans="1:8" x14ac:dyDescent="0.25">
      <c r="A43" s="52"/>
      <c r="B43" s="52"/>
      <c r="C43" s="52"/>
      <c r="D43" s="52"/>
      <c r="E43" s="52"/>
      <c r="F43" s="52"/>
      <c r="G43" s="52"/>
    </row>
    <row r="44" spans="1:8" x14ac:dyDescent="0.25">
      <c r="A44" s="53" t="s">
        <v>247</v>
      </c>
      <c r="B44" s="52"/>
      <c r="C44" s="52"/>
      <c r="D44" s="52"/>
      <c r="E44" s="52"/>
      <c r="F44" s="52"/>
      <c r="G44" s="52"/>
    </row>
    <row r="45" spans="1:8" x14ac:dyDescent="0.25">
      <c r="A45" s="51" t="s">
        <v>248</v>
      </c>
      <c r="B45" s="137">
        <f t="shared" ref="B45:G45" si="15">SUM(B46:B53)</f>
        <v>138126306</v>
      </c>
      <c r="C45" s="137">
        <f t="shared" si="15"/>
        <v>13241052</v>
      </c>
      <c r="D45" s="137">
        <f t="shared" si="15"/>
        <v>151367358</v>
      </c>
      <c r="E45" s="137">
        <f t="shared" si="15"/>
        <v>151367358</v>
      </c>
      <c r="F45" s="137">
        <f t="shared" si="15"/>
        <v>151367358</v>
      </c>
      <c r="G45" s="137">
        <f t="shared" si="15"/>
        <v>13241052</v>
      </c>
    </row>
    <row r="46" spans="1:8" x14ac:dyDescent="0.25">
      <c r="A46" s="65" t="s">
        <v>249</v>
      </c>
      <c r="B46" s="136">
        <v>0</v>
      </c>
      <c r="C46" s="136">
        <f t="shared" ref="C46:C53" si="16">D46-B46</f>
        <v>0</v>
      </c>
      <c r="D46" s="136">
        <v>0</v>
      </c>
      <c r="E46" s="136">
        <v>0</v>
      </c>
      <c r="F46" s="136">
        <v>0</v>
      </c>
      <c r="G46" s="136">
        <f t="shared" ref="G46:G53" si="17">E46-B46</f>
        <v>0</v>
      </c>
    </row>
    <row r="47" spans="1:8" x14ac:dyDescent="0.25">
      <c r="A47" s="65" t="s">
        <v>250</v>
      </c>
      <c r="B47" s="136">
        <v>0</v>
      </c>
      <c r="C47" s="136">
        <f t="shared" si="16"/>
        <v>0</v>
      </c>
      <c r="D47" s="136">
        <v>0</v>
      </c>
      <c r="E47" s="136">
        <v>0</v>
      </c>
      <c r="F47" s="136">
        <v>0</v>
      </c>
      <c r="G47" s="136">
        <f t="shared" si="17"/>
        <v>0</v>
      </c>
    </row>
    <row r="48" spans="1:8" x14ac:dyDescent="0.25">
      <c r="A48" s="65" t="s">
        <v>251</v>
      </c>
      <c r="B48" s="136">
        <v>62054837</v>
      </c>
      <c r="C48" s="136">
        <f t="shared" si="16"/>
        <v>6225020</v>
      </c>
      <c r="D48" s="136">
        <v>68279857</v>
      </c>
      <c r="E48" s="136">
        <v>68279857</v>
      </c>
      <c r="F48" s="136">
        <v>68279857</v>
      </c>
      <c r="G48" s="136">
        <f t="shared" si="17"/>
        <v>6225020</v>
      </c>
    </row>
    <row r="49" spans="1:7" ht="30" x14ac:dyDescent="0.25">
      <c r="A49" s="65" t="s">
        <v>252</v>
      </c>
      <c r="B49" s="136">
        <v>76071469</v>
      </c>
      <c r="C49" s="136">
        <f t="shared" si="16"/>
        <v>7016032</v>
      </c>
      <c r="D49" s="136">
        <v>83087501</v>
      </c>
      <c r="E49" s="136">
        <v>83087501</v>
      </c>
      <c r="F49" s="136">
        <v>83087501</v>
      </c>
      <c r="G49" s="136">
        <f t="shared" si="17"/>
        <v>7016032</v>
      </c>
    </row>
    <row r="50" spans="1:7" x14ac:dyDescent="0.25">
      <c r="A50" s="65" t="s">
        <v>253</v>
      </c>
      <c r="B50" s="136">
        <v>0</v>
      </c>
      <c r="C50" s="136">
        <f t="shared" si="16"/>
        <v>0</v>
      </c>
      <c r="D50" s="136">
        <v>0</v>
      </c>
      <c r="E50" s="136">
        <v>0</v>
      </c>
      <c r="F50" s="136">
        <v>0</v>
      </c>
      <c r="G50" s="136">
        <f t="shared" si="17"/>
        <v>0</v>
      </c>
    </row>
    <row r="51" spans="1:7" x14ac:dyDescent="0.25">
      <c r="A51" s="65" t="s">
        <v>254</v>
      </c>
      <c r="B51" s="136">
        <v>0</v>
      </c>
      <c r="C51" s="136">
        <f t="shared" si="16"/>
        <v>0</v>
      </c>
      <c r="D51" s="136">
        <v>0</v>
      </c>
      <c r="E51" s="136">
        <v>0</v>
      </c>
      <c r="F51" s="136">
        <v>0</v>
      </c>
      <c r="G51" s="136">
        <f t="shared" si="17"/>
        <v>0</v>
      </c>
    </row>
    <row r="52" spans="1:7" x14ac:dyDescent="0.25">
      <c r="A52" s="46" t="s">
        <v>255</v>
      </c>
      <c r="B52" s="136">
        <v>0</v>
      </c>
      <c r="C52" s="136">
        <f t="shared" si="16"/>
        <v>0</v>
      </c>
      <c r="D52" s="136">
        <v>0</v>
      </c>
      <c r="E52" s="136">
        <v>0</v>
      </c>
      <c r="F52" s="136">
        <v>0</v>
      </c>
      <c r="G52" s="136">
        <f t="shared" si="17"/>
        <v>0</v>
      </c>
    </row>
    <row r="53" spans="1:7" x14ac:dyDescent="0.25">
      <c r="A53" s="61" t="s">
        <v>256</v>
      </c>
      <c r="B53" s="136">
        <v>0</v>
      </c>
      <c r="C53" s="136">
        <f t="shared" si="16"/>
        <v>0</v>
      </c>
      <c r="D53" s="136">
        <v>0</v>
      </c>
      <c r="E53" s="136">
        <v>0</v>
      </c>
      <c r="F53" s="136">
        <v>0</v>
      </c>
      <c r="G53" s="136">
        <f t="shared" si="17"/>
        <v>0</v>
      </c>
    </row>
    <row r="54" spans="1:7" x14ac:dyDescent="0.25">
      <c r="A54" s="51" t="s">
        <v>257</v>
      </c>
      <c r="B54" s="137">
        <f t="shared" ref="B54:G54" si="18">SUM(B55:B58)</f>
        <v>183978824.78999999</v>
      </c>
      <c r="C54" s="137">
        <f t="shared" si="18"/>
        <v>-49815564.129999995</v>
      </c>
      <c r="D54" s="137">
        <f t="shared" si="18"/>
        <v>134163260.66</v>
      </c>
      <c r="E54" s="137">
        <f t="shared" si="18"/>
        <v>77474589.400000006</v>
      </c>
      <c r="F54" s="137">
        <f t="shared" si="18"/>
        <v>77474589.400000006</v>
      </c>
      <c r="G54" s="137">
        <f t="shared" si="18"/>
        <v>-106504235.38999999</v>
      </c>
    </row>
    <row r="55" spans="1:7" x14ac:dyDescent="0.25">
      <c r="A55" s="46" t="s">
        <v>258</v>
      </c>
      <c r="B55" s="136">
        <v>0</v>
      </c>
      <c r="C55" s="136">
        <f t="shared" ref="C55:C58" si="19">D55-B55</f>
        <v>0</v>
      </c>
      <c r="D55" s="136">
        <v>0</v>
      </c>
      <c r="E55" s="136">
        <v>0</v>
      </c>
      <c r="F55" s="136">
        <v>0</v>
      </c>
      <c r="G55" s="136">
        <f t="shared" ref="G55:G58" si="20">E55-B55</f>
        <v>0</v>
      </c>
    </row>
    <row r="56" spans="1:7" x14ac:dyDescent="0.25">
      <c r="A56" s="65" t="s">
        <v>259</v>
      </c>
      <c r="B56" s="136">
        <v>0</v>
      </c>
      <c r="C56" s="136">
        <f t="shared" si="19"/>
        <v>0</v>
      </c>
      <c r="D56" s="136">
        <v>0</v>
      </c>
      <c r="E56" s="136">
        <v>0</v>
      </c>
      <c r="F56" s="136">
        <v>0</v>
      </c>
      <c r="G56" s="136">
        <f t="shared" si="20"/>
        <v>0</v>
      </c>
    </row>
    <row r="57" spans="1:7" x14ac:dyDescent="0.25">
      <c r="A57" s="65" t="s">
        <v>260</v>
      </c>
      <c r="B57" s="136">
        <v>0</v>
      </c>
      <c r="C57" s="136">
        <f t="shared" si="19"/>
        <v>0</v>
      </c>
      <c r="D57" s="136">
        <v>0</v>
      </c>
      <c r="E57" s="136">
        <v>0</v>
      </c>
      <c r="F57" s="136">
        <v>0</v>
      </c>
      <c r="G57" s="136">
        <f t="shared" si="20"/>
        <v>0</v>
      </c>
    </row>
    <row r="58" spans="1:7" x14ac:dyDescent="0.25">
      <c r="A58" s="46" t="s">
        <v>261</v>
      </c>
      <c r="B58" s="136">
        <v>183978824.78999999</v>
      </c>
      <c r="C58" s="136">
        <f t="shared" si="19"/>
        <v>-49815564.129999995</v>
      </c>
      <c r="D58" s="136">
        <v>134163260.66</v>
      </c>
      <c r="E58" s="136">
        <v>77474589.400000006</v>
      </c>
      <c r="F58" s="136">
        <v>77474589.400000006</v>
      </c>
      <c r="G58" s="136">
        <f t="shared" si="20"/>
        <v>-106504235.38999999</v>
      </c>
    </row>
    <row r="59" spans="1:7" x14ac:dyDescent="0.25">
      <c r="A59" s="51" t="s">
        <v>262</v>
      </c>
      <c r="B59" s="137">
        <f t="shared" ref="B59:G59" si="21">SUM(B60:B61)</f>
        <v>0</v>
      </c>
      <c r="C59" s="137">
        <f t="shared" si="21"/>
        <v>0</v>
      </c>
      <c r="D59" s="137">
        <f t="shared" si="21"/>
        <v>0</v>
      </c>
      <c r="E59" s="137">
        <f t="shared" si="21"/>
        <v>0</v>
      </c>
      <c r="F59" s="137">
        <f t="shared" si="21"/>
        <v>0</v>
      </c>
      <c r="G59" s="137">
        <f t="shared" si="21"/>
        <v>0</v>
      </c>
    </row>
    <row r="60" spans="1:7" x14ac:dyDescent="0.25">
      <c r="A60" s="65" t="s">
        <v>263</v>
      </c>
      <c r="B60" s="136">
        <v>0</v>
      </c>
      <c r="C60" s="136">
        <f t="shared" ref="C60:C63" si="22">D60-B60</f>
        <v>0</v>
      </c>
      <c r="D60" s="136">
        <v>0</v>
      </c>
      <c r="E60" s="136">
        <v>0</v>
      </c>
      <c r="F60" s="136">
        <v>0</v>
      </c>
      <c r="G60" s="136">
        <f t="shared" ref="G60:G63" si="23">E60-B60</f>
        <v>0</v>
      </c>
    </row>
    <row r="61" spans="1:7" x14ac:dyDescent="0.25">
      <c r="A61" s="65" t="s">
        <v>264</v>
      </c>
      <c r="B61" s="136">
        <v>0</v>
      </c>
      <c r="C61" s="136">
        <f t="shared" si="22"/>
        <v>0</v>
      </c>
      <c r="D61" s="136">
        <v>0</v>
      </c>
      <c r="E61" s="136">
        <v>0</v>
      </c>
      <c r="F61" s="136">
        <v>0</v>
      </c>
      <c r="G61" s="136">
        <f t="shared" si="23"/>
        <v>0</v>
      </c>
    </row>
    <row r="62" spans="1:7" x14ac:dyDescent="0.25">
      <c r="A62" s="51" t="s">
        <v>265</v>
      </c>
      <c r="B62" s="136">
        <v>0</v>
      </c>
      <c r="C62" s="136">
        <f t="shared" si="22"/>
        <v>0</v>
      </c>
      <c r="D62" s="136">
        <v>0</v>
      </c>
      <c r="E62" s="136">
        <v>0</v>
      </c>
      <c r="F62" s="136">
        <v>0</v>
      </c>
      <c r="G62" s="136">
        <f t="shared" si="23"/>
        <v>0</v>
      </c>
    </row>
    <row r="63" spans="1:7" x14ac:dyDescent="0.25">
      <c r="A63" s="51" t="s">
        <v>266</v>
      </c>
      <c r="B63" s="136">
        <f>1500000+300000+165000</f>
        <v>1965000</v>
      </c>
      <c r="C63" s="136">
        <f t="shared" si="22"/>
        <v>2300000</v>
      </c>
      <c r="D63" s="136">
        <f>3200000+500000+565000</f>
        <v>4265000</v>
      </c>
      <c r="E63" s="136">
        <f>3273332.67+327992.94+565058.41</f>
        <v>4166384.02</v>
      </c>
      <c r="F63" s="136">
        <f>3273332.67+327992.94+565058.41</f>
        <v>4166384.02</v>
      </c>
      <c r="G63" s="136">
        <f t="shared" si="23"/>
        <v>2201384.02</v>
      </c>
    </row>
    <row r="64" spans="1:7" x14ac:dyDescent="0.25">
      <c r="A64" s="52"/>
      <c r="B64" s="52"/>
      <c r="C64" s="52"/>
      <c r="D64" s="52"/>
      <c r="E64" s="52"/>
      <c r="F64" s="52"/>
      <c r="G64" s="52"/>
    </row>
    <row r="65" spans="1:7" x14ac:dyDescent="0.25">
      <c r="A65" s="53" t="s">
        <v>267</v>
      </c>
      <c r="B65" s="139">
        <f t="shared" ref="B65:G65" si="24">B45+B54+B59+B62+B63</f>
        <v>324070130.78999996</v>
      </c>
      <c r="C65" s="139">
        <f t="shared" si="24"/>
        <v>-34274512.129999995</v>
      </c>
      <c r="D65" s="139">
        <f t="shared" si="24"/>
        <v>289795618.65999997</v>
      </c>
      <c r="E65" s="139">
        <f t="shared" si="24"/>
        <v>233008331.42000002</v>
      </c>
      <c r="F65" s="139">
        <f t="shared" si="24"/>
        <v>233008331.42000002</v>
      </c>
      <c r="G65" s="139">
        <f t="shared" si="24"/>
        <v>-91061799.36999999</v>
      </c>
    </row>
    <row r="66" spans="1:7" x14ac:dyDescent="0.25">
      <c r="A66" s="52"/>
      <c r="B66" s="52"/>
      <c r="C66" s="52"/>
      <c r="D66" s="52"/>
      <c r="E66" s="52"/>
      <c r="F66" s="52"/>
      <c r="G66" s="52"/>
    </row>
    <row r="67" spans="1:7" x14ac:dyDescent="0.25">
      <c r="A67" s="53" t="s">
        <v>268</v>
      </c>
      <c r="B67" s="139">
        <f t="shared" ref="B67:G67" si="25">B68</f>
        <v>133103977.62</v>
      </c>
      <c r="C67" s="139">
        <f t="shared" si="25"/>
        <v>-18058590.27</v>
      </c>
      <c r="D67" s="139">
        <f t="shared" si="25"/>
        <v>115045387.35000001</v>
      </c>
      <c r="E67" s="139">
        <f t="shared" si="25"/>
        <v>76887958.480000004</v>
      </c>
      <c r="F67" s="139">
        <f t="shared" si="25"/>
        <v>76887958.480000004</v>
      </c>
      <c r="G67" s="139">
        <f t="shared" si="25"/>
        <v>-56216019.140000001</v>
      </c>
    </row>
    <row r="68" spans="1:7" x14ac:dyDescent="0.25">
      <c r="A68" s="51" t="s">
        <v>269</v>
      </c>
      <c r="B68" s="136">
        <v>133103977.62</v>
      </c>
      <c r="C68" s="136">
        <v>-18058590.27</v>
      </c>
      <c r="D68" s="136">
        <v>115045387.35000001</v>
      </c>
      <c r="E68" s="136">
        <v>76887958.480000004</v>
      </c>
      <c r="F68" s="136">
        <v>76887958.480000004</v>
      </c>
      <c r="G68" s="136">
        <f t="shared" ref="G68" si="26">E68-B68</f>
        <v>-56216019.140000001</v>
      </c>
    </row>
    <row r="69" spans="1:7" x14ac:dyDescent="0.25">
      <c r="A69" s="52"/>
      <c r="B69" s="52"/>
      <c r="C69" s="52"/>
      <c r="D69" s="52"/>
      <c r="E69" s="52"/>
      <c r="F69" s="52"/>
      <c r="G69" s="52"/>
    </row>
    <row r="70" spans="1:7" x14ac:dyDescent="0.25">
      <c r="A70" s="53" t="s">
        <v>270</v>
      </c>
      <c r="B70" s="139">
        <f t="shared" ref="B70:G70" si="27">B41+B65+B67</f>
        <v>622253800.18999994</v>
      </c>
      <c r="C70" s="139">
        <f t="shared" si="27"/>
        <v>-34115764.629999995</v>
      </c>
      <c r="D70" s="139">
        <f t="shared" si="27"/>
        <v>588138035.55999994</v>
      </c>
      <c r="E70" s="139">
        <f t="shared" si="27"/>
        <v>497884968.5200001</v>
      </c>
      <c r="F70" s="139">
        <f t="shared" si="27"/>
        <v>497884968.5200001</v>
      </c>
      <c r="G70" s="139">
        <f t="shared" si="27"/>
        <v>-124368831.66999999</v>
      </c>
    </row>
    <row r="71" spans="1:7" x14ac:dyDescent="0.25">
      <c r="A71" s="52"/>
      <c r="B71" s="52"/>
      <c r="C71" s="52"/>
      <c r="D71" s="52"/>
      <c r="E71" s="52"/>
      <c r="F71" s="52"/>
      <c r="G71" s="52"/>
    </row>
    <row r="72" spans="1:7" x14ac:dyDescent="0.25">
      <c r="A72" s="53" t="s">
        <v>271</v>
      </c>
      <c r="B72" s="52"/>
      <c r="C72" s="52"/>
      <c r="D72" s="52"/>
      <c r="E72" s="52"/>
      <c r="F72" s="52"/>
      <c r="G72" s="52"/>
    </row>
    <row r="73" spans="1:7" x14ac:dyDescent="0.25">
      <c r="A73" s="118" t="s">
        <v>272</v>
      </c>
      <c r="B73" s="136">
        <v>18569274.289999999</v>
      </c>
      <c r="C73" s="136">
        <v>6057415.9199999999</v>
      </c>
      <c r="D73" s="136">
        <v>24626690.210000001</v>
      </c>
      <c r="E73" s="136">
        <v>8024829.0700000003</v>
      </c>
      <c r="F73" s="136">
        <v>8024829.0700000003</v>
      </c>
      <c r="G73" s="136">
        <f t="shared" ref="G73:G74" si="28">E73-B73</f>
        <v>-10544445.219999999</v>
      </c>
    </row>
    <row r="74" spans="1:7" ht="30" x14ac:dyDescent="0.25">
      <c r="A74" s="118" t="s">
        <v>273</v>
      </c>
      <c r="B74" s="136">
        <v>114534703.33</v>
      </c>
      <c r="C74" s="136">
        <v>-24116006.190000001</v>
      </c>
      <c r="D74" s="136">
        <v>90418697.140000001</v>
      </c>
      <c r="E74" s="136">
        <v>68863129.409999996</v>
      </c>
      <c r="F74" s="136">
        <v>68863129.409999996</v>
      </c>
      <c r="G74" s="136">
        <f t="shared" si="28"/>
        <v>-45671573.920000002</v>
      </c>
    </row>
    <row r="75" spans="1:7" x14ac:dyDescent="0.25">
      <c r="A75" s="110" t="s">
        <v>274</v>
      </c>
      <c r="B75" s="139">
        <f t="shared" ref="B75:G75" si="29">B73+B74</f>
        <v>133103977.62</v>
      </c>
      <c r="C75" s="139">
        <f t="shared" si="29"/>
        <v>-18058590.270000003</v>
      </c>
      <c r="D75" s="139">
        <f t="shared" si="29"/>
        <v>115045387.34999999</v>
      </c>
      <c r="E75" s="139">
        <f t="shared" si="29"/>
        <v>76887958.479999989</v>
      </c>
      <c r="F75" s="139">
        <f t="shared" si="29"/>
        <v>76887958.479999989</v>
      </c>
      <c r="G75" s="139">
        <f t="shared" si="29"/>
        <v>-56216019.140000001</v>
      </c>
    </row>
    <row r="76" spans="1:7" x14ac:dyDescent="0.25">
      <c r="A76" s="56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15532185</v>
      </c>
      <c r="Q3" s="18">
        <f>'Formato 5'!C9</f>
        <v>1570000</v>
      </c>
      <c r="R3" s="18">
        <f>'Formato 5'!D9</f>
        <v>17102185</v>
      </c>
      <c r="S3" s="18">
        <f>'Formato 5'!E9</f>
        <v>17418028.440000001</v>
      </c>
      <c r="T3" s="18">
        <f>'Formato 5'!F9</f>
        <v>17418028.440000001</v>
      </c>
      <c r="U3" s="18">
        <f>'Formato 5'!G9</f>
        <v>1885843.4400000013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165510</v>
      </c>
      <c r="Q5" s="18">
        <f>'Formato 5'!C11</f>
        <v>954000</v>
      </c>
      <c r="R5" s="18">
        <f>'Formato 5'!D11</f>
        <v>1119510</v>
      </c>
      <c r="S5" s="18">
        <f>'Formato 5'!E11</f>
        <v>304400</v>
      </c>
      <c r="T5" s="18">
        <f>'Formato 5'!F11</f>
        <v>304400</v>
      </c>
      <c r="U5" s="18">
        <f>'Formato 5'!G11</f>
        <v>138890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19579899</v>
      </c>
      <c r="Q6" s="18">
        <f>'Formato 5'!C12</f>
        <v>4327598</v>
      </c>
      <c r="R6" s="18">
        <f>'Formato 5'!D12</f>
        <v>23907497</v>
      </c>
      <c r="S6" s="18">
        <f>'Formato 5'!E12</f>
        <v>23896599.329999998</v>
      </c>
      <c r="T6" s="18">
        <f>'Formato 5'!F12</f>
        <v>23896599.329999998</v>
      </c>
      <c r="U6" s="18">
        <f>'Formato 5'!G12</f>
        <v>4316700.3299999982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2778279</v>
      </c>
      <c r="Q7" s="18">
        <f>'Formato 5'!C13</f>
        <v>580000</v>
      </c>
      <c r="R7" s="18">
        <f>'Formato 5'!D13</f>
        <v>3358279</v>
      </c>
      <c r="S7" s="18">
        <f>'Formato 5'!E13</f>
        <v>3596206.82</v>
      </c>
      <c r="T7" s="18">
        <f>'Formato 5'!F13</f>
        <v>3596206.82</v>
      </c>
      <c r="U7" s="18">
        <f>'Formato 5'!G13</f>
        <v>817927.81999999983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2967027</v>
      </c>
      <c r="Q8" s="18">
        <f>'Formato 5'!C14</f>
        <v>-1190000</v>
      </c>
      <c r="R8" s="18">
        <f>'Formato 5'!D14</f>
        <v>1777027</v>
      </c>
      <c r="S8" s="18">
        <f>'Formato 5'!E14</f>
        <v>1771060.76</v>
      </c>
      <c r="T8" s="18">
        <f>'Formato 5'!F14</f>
        <v>1771060.76</v>
      </c>
      <c r="U8" s="18">
        <f>'Formato 5'!G14</f>
        <v>-1195966.24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117554018</v>
      </c>
      <c r="Q10" s="18">
        <f>'Formato 5'!C16</f>
        <v>11033161.279999999</v>
      </c>
      <c r="R10" s="18">
        <f>'Formato 5'!D16</f>
        <v>128587179.28</v>
      </c>
      <c r="S10" s="18">
        <f>'Formato 5'!E16</f>
        <v>133446883.19000001</v>
      </c>
      <c r="T10" s="18">
        <f>'Formato 5'!F16</f>
        <v>133446883.19000001</v>
      </c>
      <c r="U10" s="18">
        <f>'Formato 5'!G16</f>
        <v>15892865.190000003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79464803</v>
      </c>
      <c r="Q11" s="18">
        <f>'Formato 5'!C17</f>
        <v>5970888</v>
      </c>
      <c r="R11" s="18">
        <f>'Formato 5'!D17</f>
        <v>85435691</v>
      </c>
      <c r="S11" s="18">
        <f>'Formato 5'!E17</f>
        <v>88929565.420000002</v>
      </c>
      <c r="T11" s="18">
        <f>'Formato 5'!F17</f>
        <v>88929565.420000002</v>
      </c>
      <c r="U11" s="18">
        <f>'Formato 5'!G17</f>
        <v>9464762.4200000018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20381265</v>
      </c>
      <c r="Q12" s="18">
        <f>'Formato 5'!C18</f>
        <v>985346</v>
      </c>
      <c r="R12" s="18">
        <f>'Formato 5'!D18</f>
        <v>21366611</v>
      </c>
      <c r="S12" s="18">
        <f>'Formato 5'!E18</f>
        <v>21697248.640000001</v>
      </c>
      <c r="T12" s="18">
        <f>'Formato 5'!F18</f>
        <v>21697248.640000001</v>
      </c>
      <c r="U12" s="18">
        <f>'Formato 5'!G18</f>
        <v>1315983.6400000006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5575057</v>
      </c>
      <c r="Q13" s="18">
        <f>'Formato 5'!C19</f>
        <v>1187861</v>
      </c>
      <c r="R13" s="18">
        <f>'Formato 5'!D19</f>
        <v>6762918</v>
      </c>
      <c r="S13" s="18">
        <f>'Formato 5'!E19</f>
        <v>6738494.1500000004</v>
      </c>
      <c r="T13" s="18">
        <f>'Formato 5'!F19</f>
        <v>6738494.1500000004</v>
      </c>
      <c r="U13" s="18">
        <f>'Formato 5'!G19</f>
        <v>1163437.1500000004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1762376</v>
      </c>
      <c r="Q16" s="18">
        <f>'Formato 5'!C22</f>
        <v>926859</v>
      </c>
      <c r="R16" s="18">
        <f>'Formato 5'!D22</f>
        <v>2689235</v>
      </c>
      <c r="S16" s="18">
        <f>'Formato 5'!E22</f>
        <v>2705424.67</v>
      </c>
      <c r="T16" s="18">
        <f>'Formato 5'!F22</f>
        <v>2705424.67</v>
      </c>
      <c r="U16" s="18">
        <f>'Formato 5'!G22</f>
        <v>943048.66999999993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4370517</v>
      </c>
      <c r="Q19" s="18">
        <f>'Formato 5'!C25</f>
        <v>-527499</v>
      </c>
      <c r="R19" s="18">
        <f>'Formato 5'!D25</f>
        <v>3843018</v>
      </c>
      <c r="S19" s="18">
        <f>'Formato 5'!E25</f>
        <v>4075012.31</v>
      </c>
      <c r="T19" s="18">
        <f>'Formato 5'!F25</f>
        <v>4075012.31</v>
      </c>
      <c r="U19" s="18">
        <f>'Formato 5'!G25</f>
        <v>-295504.68999999994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6000000</v>
      </c>
      <c r="Q20" s="18">
        <f>'Formato 5'!C26</f>
        <v>2489706.2799999993</v>
      </c>
      <c r="R20" s="18">
        <f>'Formato 5'!D26</f>
        <v>8489706.2799999993</v>
      </c>
      <c r="S20" s="18">
        <f>'Formato 5'!E26</f>
        <v>9301138</v>
      </c>
      <c r="T20" s="18">
        <f>'Formato 5'!F26</f>
        <v>9301138</v>
      </c>
      <c r="U20" s="18">
        <f>'Formato 5'!G26</f>
        <v>3301138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2409842</v>
      </c>
      <c r="Q22" s="18">
        <f>'Formato 5'!C28</f>
        <v>303000</v>
      </c>
      <c r="R22" s="18">
        <f>'Formato 5'!D28</f>
        <v>2712842</v>
      </c>
      <c r="S22" s="18">
        <f>'Formato 5'!E28</f>
        <v>2715618.94</v>
      </c>
      <c r="T22" s="18">
        <f>'Formato 5'!F28</f>
        <v>2715618.94</v>
      </c>
      <c r="U22" s="18">
        <f>'Formato 5'!G28</f>
        <v>305776.93999999994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18952</v>
      </c>
      <c r="Q23" s="18">
        <f>'Formato 5'!C29</f>
        <v>15000</v>
      </c>
      <c r="R23" s="18">
        <f>'Formato 5'!D29</f>
        <v>33952</v>
      </c>
      <c r="S23" s="18">
        <f>'Formato 5'!E29</f>
        <v>26752.54</v>
      </c>
      <c r="T23" s="18">
        <f>'Formato 5'!F29</f>
        <v>26752.54</v>
      </c>
      <c r="U23" s="18">
        <f>'Formato 5'!G29</f>
        <v>7800.5400000000009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246780</v>
      </c>
      <c r="Q24" s="18">
        <f>'Formato 5'!C30</f>
        <v>8000</v>
      </c>
      <c r="R24" s="18">
        <f>'Formato 5'!D30</f>
        <v>254780</v>
      </c>
      <c r="S24" s="18">
        <f>'Formato 5'!E30</f>
        <v>252885.48</v>
      </c>
      <c r="T24" s="18">
        <f>'Formato 5'!F30</f>
        <v>252885.48</v>
      </c>
      <c r="U24" s="18">
        <f>'Formato 5'!G30</f>
        <v>6105.4800000000105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1283022</v>
      </c>
      <c r="Q25" s="18">
        <f>'Formato 5'!C31</f>
        <v>370000</v>
      </c>
      <c r="R25" s="18">
        <f>'Formato 5'!D31</f>
        <v>1653022</v>
      </c>
      <c r="S25" s="18">
        <f>'Formato 5'!E31</f>
        <v>1679343.64</v>
      </c>
      <c r="T25" s="18">
        <f>'Formato 5'!F31</f>
        <v>1679343.64</v>
      </c>
      <c r="U25" s="18">
        <f>'Formato 5'!G31</f>
        <v>396321.6399999999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861088</v>
      </c>
      <c r="Q27" s="18">
        <f>'Formato 5'!C33</f>
        <v>-90000</v>
      </c>
      <c r="R27" s="18">
        <f>'Formato 5'!D33</f>
        <v>771088</v>
      </c>
      <c r="S27" s="18">
        <f>'Formato 5'!E33</f>
        <v>756637.28</v>
      </c>
      <c r="T27" s="18">
        <f>'Formato 5'!F33</f>
        <v>756637.28</v>
      </c>
      <c r="U27" s="18">
        <f>'Formato 5'!G33</f>
        <v>-104450.71999999997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2592931.7799999998</v>
      </c>
      <c r="Q29" s="18">
        <f>'Formato 5'!C35</f>
        <v>139578.48999999976</v>
      </c>
      <c r="R29" s="18">
        <f>'Formato 5'!D35</f>
        <v>2732510.2699999996</v>
      </c>
      <c r="S29" s="18">
        <f>'Formato 5'!E35</f>
        <v>2739878.15</v>
      </c>
      <c r="T29" s="18">
        <f>'Formato 5'!F35</f>
        <v>2739878.15</v>
      </c>
      <c r="U29" s="18">
        <f>'Formato 5'!G35</f>
        <v>146946.37000000011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2592931.7799999998</v>
      </c>
      <c r="Q30" s="18">
        <f>'Formato 5'!C36</f>
        <v>139578.48999999976</v>
      </c>
      <c r="R30" s="18">
        <f>'Formato 5'!D36</f>
        <v>2732510.2699999996</v>
      </c>
      <c r="S30" s="18">
        <f>'Formato 5'!E36</f>
        <v>2739878.15</v>
      </c>
      <c r="T30" s="18">
        <f>'Formato 5'!F36</f>
        <v>2739878.15</v>
      </c>
      <c r="U30" s="18">
        <f>'Formato 5'!G36</f>
        <v>146946.37000000011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1500000</v>
      </c>
      <c r="Q31" s="18">
        <f>'Formato 5'!C37</f>
        <v>500000</v>
      </c>
      <c r="R31" s="18">
        <f>'Formato 5'!D37</f>
        <v>2000000</v>
      </c>
      <c r="S31" s="18">
        <f>'Formato 5'!E37</f>
        <v>2100002.9900000002</v>
      </c>
      <c r="T31" s="18">
        <f>'Formato 5'!F37</f>
        <v>2100002.9900000002</v>
      </c>
      <c r="U31" s="18">
        <f>'Formato 5'!G37</f>
        <v>600002.99000000022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1500000</v>
      </c>
      <c r="Q33" s="18">
        <f>'Formato 5'!C39</f>
        <v>500000</v>
      </c>
      <c r="R33" s="18">
        <f>'Formato 5'!D39</f>
        <v>2000000</v>
      </c>
      <c r="S33" s="18">
        <f>'Formato 5'!E39</f>
        <v>2100002.9900000002</v>
      </c>
      <c r="T33" s="18">
        <f>'Formato 5'!F39</f>
        <v>2100002.9900000002</v>
      </c>
      <c r="U33" s="18">
        <f>'Formato 5'!G39</f>
        <v>600002.99000000022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165079691.78</v>
      </c>
      <c r="Q34">
        <f>'Formato 5'!C41</f>
        <v>18217337.77</v>
      </c>
      <c r="R34">
        <f>'Formato 5'!D41</f>
        <v>183297029.55000001</v>
      </c>
      <c r="S34">
        <f>'Formato 5'!E41</f>
        <v>187988678.62000003</v>
      </c>
      <c r="T34">
        <f>'Formato 5'!F41</f>
        <v>187988678.62000003</v>
      </c>
      <c r="U34">
        <f>'Formato 5'!G41</f>
        <v>22908986.840000004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22908986.840000004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138126306</v>
      </c>
      <c r="Q37">
        <f>'Formato 5'!C45</f>
        <v>13241052</v>
      </c>
      <c r="R37">
        <f>'Formato 5'!D45</f>
        <v>151367358</v>
      </c>
      <c r="S37">
        <f>'Formato 5'!E45</f>
        <v>151367358</v>
      </c>
      <c r="T37">
        <f>'Formato 5'!F45</f>
        <v>151367358</v>
      </c>
      <c r="U37">
        <f>'Formato 5'!G45</f>
        <v>13241052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62054837</v>
      </c>
      <c r="Q40">
        <f>'Formato 5'!C48</f>
        <v>6225020</v>
      </c>
      <c r="R40">
        <f>'Formato 5'!D48</f>
        <v>68279857</v>
      </c>
      <c r="S40">
        <f>'Formato 5'!E48</f>
        <v>68279857</v>
      </c>
      <c r="T40">
        <f>'Formato 5'!F48</f>
        <v>68279857</v>
      </c>
      <c r="U40">
        <f>'Formato 5'!G48</f>
        <v>6225020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76071469</v>
      </c>
      <c r="Q41">
        <f>'Formato 5'!C49</f>
        <v>7016032</v>
      </c>
      <c r="R41">
        <f>'Formato 5'!D49</f>
        <v>83087501</v>
      </c>
      <c r="S41">
        <f>'Formato 5'!E49</f>
        <v>83087501</v>
      </c>
      <c r="T41">
        <f>'Formato 5'!F49</f>
        <v>83087501</v>
      </c>
      <c r="U41">
        <f>'Formato 5'!G49</f>
        <v>7016032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183978824.78999999</v>
      </c>
      <c r="Q46">
        <f>'Formato 5'!C54</f>
        <v>-49815564.129999995</v>
      </c>
      <c r="R46">
        <f>'Formato 5'!D54</f>
        <v>134163260.66</v>
      </c>
      <c r="S46">
        <f>'Formato 5'!E54</f>
        <v>77474589.400000006</v>
      </c>
      <c r="T46">
        <f>'Formato 5'!F54</f>
        <v>77474589.400000006</v>
      </c>
      <c r="U46">
        <f>'Formato 5'!G54</f>
        <v>-106504235.38999999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183978824.78999999</v>
      </c>
      <c r="Q50">
        <f>'Formato 5'!C58</f>
        <v>-49815564.129999995</v>
      </c>
      <c r="R50">
        <f>'Formato 5'!D58</f>
        <v>134163260.66</v>
      </c>
      <c r="S50">
        <f>'Formato 5'!E58</f>
        <v>77474589.400000006</v>
      </c>
      <c r="T50">
        <f>'Formato 5'!F58</f>
        <v>77474589.400000006</v>
      </c>
      <c r="U50">
        <f>'Formato 5'!G58</f>
        <v>-106504235.38999999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1965000</v>
      </c>
      <c r="Q55">
        <f>'Formato 5'!C63</f>
        <v>2300000</v>
      </c>
      <c r="R55">
        <f>'Formato 5'!D63</f>
        <v>4265000</v>
      </c>
      <c r="S55">
        <f>'Formato 5'!E63</f>
        <v>4166384.02</v>
      </c>
      <c r="T55">
        <f>'Formato 5'!F63</f>
        <v>4166384.02</v>
      </c>
      <c r="U55">
        <f>'Formato 5'!G63</f>
        <v>2201384.02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324070130.78999996</v>
      </c>
      <c r="Q56">
        <f>'Formato 5'!C65</f>
        <v>-34274512.129999995</v>
      </c>
      <c r="R56">
        <f>'Formato 5'!D65</f>
        <v>289795618.65999997</v>
      </c>
      <c r="S56">
        <f>'Formato 5'!E65</f>
        <v>233008331.42000002</v>
      </c>
      <c r="T56">
        <f>'Formato 5'!F65</f>
        <v>233008331.42000002</v>
      </c>
      <c r="U56">
        <f>'Formato 5'!G65</f>
        <v>-91061799.36999999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133103977.62</v>
      </c>
      <c r="Q57">
        <f>'Formato 5'!C67</f>
        <v>-18058590.27</v>
      </c>
      <c r="R57">
        <f>'Formato 5'!D67</f>
        <v>115045387.35000001</v>
      </c>
      <c r="S57">
        <f>'Formato 5'!E67</f>
        <v>76887958.480000004</v>
      </c>
      <c r="T57">
        <f>'Formato 5'!F67</f>
        <v>76887958.480000004</v>
      </c>
      <c r="U57">
        <f>'Formato 5'!G67</f>
        <v>-56216019.140000001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133103977.62</v>
      </c>
      <c r="Q58">
        <f>'Formato 5'!C68</f>
        <v>-18058590.27</v>
      </c>
      <c r="R58">
        <f>'Formato 5'!D68</f>
        <v>115045387.35000001</v>
      </c>
      <c r="S58">
        <f>'Formato 5'!E68</f>
        <v>76887958.480000004</v>
      </c>
      <c r="T58">
        <f>'Formato 5'!F68</f>
        <v>76887958.480000004</v>
      </c>
      <c r="U58">
        <f>'Formato 5'!G68</f>
        <v>-56216019.140000001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18569274.289999999</v>
      </c>
      <c r="Q60">
        <f>'Formato 5'!C73</f>
        <v>6057415.9199999999</v>
      </c>
      <c r="R60">
        <f>'Formato 5'!D73</f>
        <v>24626690.210000001</v>
      </c>
      <c r="S60">
        <f>'Formato 5'!E73</f>
        <v>8024829.0700000003</v>
      </c>
      <c r="T60">
        <f>'Formato 5'!F73</f>
        <v>8024829.0700000003</v>
      </c>
      <c r="U60">
        <f>'Formato 5'!G73</f>
        <v>-10544445.219999999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114534703.33</v>
      </c>
      <c r="Q61">
        <f>'Formato 5'!C74</f>
        <v>-24116006.190000001</v>
      </c>
      <c r="R61">
        <f>'Formato 5'!D74</f>
        <v>90418697.140000001</v>
      </c>
      <c r="S61">
        <f>'Formato 5'!E74</f>
        <v>68863129.409999996</v>
      </c>
      <c r="T61">
        <f>'Formato 5'!F74</f>
        <v>68863129.409999996</v>
      </c>
      <c r="U61">
        <f>'Formato 5'!G74</f>
        <v>-45671573.920000002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133103977.62</v>
      </c>
      <c r="Q62">
        <f>'Formato 5'!C75</f>
        <v>-18058590.270000003</v>
      </c>
      <c r="R62">
        <f>'Formato 5'!D75</f>
        <v>115045387.34999999</v>
      </c>
      <c r="S62">
        <f>'Formato 5'!E75</f>
        <v>76887958.479999989</v>
      </c>
      <c r="T62">
        <f>'Formato 5'!F75</f>
        <v>76887958.479999989</v>
      </c>
      <c r="U62">
        <f>'Formato 5'!G75</f>
        <v>-56216019.140000001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0" zoomScaleNormal="90" zoomScalePageLayoutView="90" workbookViewId="0">
      <selection activeCell="D29" sqref="D2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04" t="s">
        <v>3277</v>
      </c>
      <c r="B1" s="203"/>
      <c r="C1" s="203"/>
      <c r="D1" s="203"/>
      <c r="E1" s="203"/>
      <c r="F1" s="203"/>
      <c r="G1" s="203"/>
    </row>
    <row r="2" spans="1:7" x14ac:dyDescent="0.25">
      <c r="A2" s="207" t="str">
        <f>ENTE_PUBLICO_A</f>
        <v>MUNICIPIO DE VALLE DE SANTIAGO, GTO., Gobierno del Estado de Guanajuato (a)</v>
      </c>
      <c r="B2" s="207"/>
      <c r="C2" s="207"/>
      <c r="D2" s="207"/>
      <c r="E2" s="207"/>
      <c r="F2" s="207"/>
      <c r="G2" s="207"/>
    </row>
    <row r="3" spans="1:7" x14ac:dyDescent="0.25">
      <c r="A3" s="208" t="s">
        <v>277</v>
      </c>
      <c r="B3" s="208"/>
      <c r="C3" s="208"/>
      <c r="D3" s="208"/>
      <c r="E3" s="208"/>
      <c r="F3" s="208"/>
      <c r="G3" s="208"/>
    </row>
    <row r="4" spans="1:7" x14ac:dyDescent="0.25">
      <c r="A4" s="208" t="s">
        <v>278</v>
      </c>
      <c r="B4" s="208"/>
      <c r="C4" s="208"/>
      <c r="D4" s="208"/>
      <c r="E4" s="208"/>
      <c r="F4" s="208"/>
      <c r="G4" s="208"/>
    </row>
    <row r="5" spans="1:7" x14ac:dyDescent="0.25">
      <c r="A5" s="209" t="str">
        <f>TRIMESTRE</f>
        <v>Del 1 de enero al 31 de diciembre de 2017 (b)</v>
      </c>
      <c r="B5" s="209"/>
      <c r="C5" s="209"/>
      <c r="D5" s="209"/>
      <c r="E5" s="209"/>
      <c r="F5" s="209"/>
      <c r="G5" s="209"/>
    </row>
    <row r="6" spans="1:7" x14ac:dyDescent="0.25">
      <c r="A6" s="201" t="s">
        <v>118</v>
      </c>
      <c r="B6" s="201"/>
      <c r="C6" s="201"/>
      <c r="D6" s="201"/>
      <c r="E6" s="201"/>
      <c r="F6" s="201"/>
      <c r="G6" s="201"/>
    </row>
    <row r="7" spans="1:7" ht="15" customHeight="1" x14ac:dyDescent="0.25">
      <c r="A7" s="205" t="s">
        <v>0</v>
      </c>
      <c r="B7" s="205" t="s">
        <v>279</v>
      </c>
      <c r="C7" s="205"/>
      <c r="D7" s="205"/>
      <c r="E7" s="205"/>
      <c r="F7" s="205"/>
      <c r="G7" s="206" t="s">
        <v>280</v>
      </c>
    </row>
    <row r="8" spans="1:7" ht="30" x14ac:dyDescent="0.25">
      <c r="A8" s="205"/>
      <c r="B8" s="43" t="s">
        <v>281</v>
      </c>
      <c r="C8" s="43" t="s">
        <v>282</v>
      </c>
      <c r="D8" s="43" t="s">
        <v>283</v>
      </c>
      <c r="E8" s="43" t="s">
        <v>167</v>
      </c>
      <c r="F8" s="43" t="s">
        <v>284</v>
      </c>
      <c r="G8" s="205"/>
    </row>
    <row r="9" spans="1:7" x14ac:dyDescent="0.25">
      <c r="A9" s="73" t="s">
        <v>285</v>
      </c>
      <c r="B9" s="152">
        <f t="shared" ref="B9:G9" si="0">SUM(B10,B18,B28,B38,B48,B58,B62,B71,B75)</f>
        <v>183648966.06999999</v>
      </c>
      <c r="C9" s="70">
        <f t="shared" si="0"/>
        <v>24274753.690000001</v>
      </c>
      <c r="D9" s="152">
        <f t="shared" si="0"/>
        <v>207923719.75999999</v>
      </c>
      <c r="E9" s="152">
        <f t="shared" si="0"/>
        <v>163729064.36000004</v>
      </c>
      <c r="F9" s="152">
        <f t="shared" si="0"/>
        <v>157032395.76000005</v>
      </c>
      <c r="G9" s="152">
        <f t="shared" si="0"/>
        <v>44194655.399999999</v>
      </c>
    </row>
    <row r="10" spans="1:7" x14ac:dyDescent="0.25">
      <c r="A10" s="74" t="s">
        <v>286</v>
      </c>
      <c r="B10" s="151">
        <f t="shared" ref="B10:G10" si="1">SUM(B11:B17)</f>
        <v>91522638.940000013</v>
      </c>
      <c r="C10" s="151">
        <f t="shared" si="1"/>
        <v>1091933.94</v>
      </c>
      <c r="D10" s="151">
        <f t="shared" si="1"/>
        <v>92614572.88000001</v>
      </c>
      <c r="E10" s="151">
        <f t="shared" si="1"/>
        <v>89376635.75</v>
      </c>
      <c r="F10" s="151">
        <f t="shared" si="1"/>
        <v>88644040.300000012</v>
      </c>
      <c r="G10" s="151">
        <f t="shared" si="1"/>
        <v>3237937.1300000031</v>
      </c>
    </row>
    <row r="11" spans="1:7" x14ac:dyDescent="0.25">
      <c r="A11" s="75" t="s">
        <v>287</v>
      </c>
      <c r="B11" s="150">
        <v>53088704.600000001</v>
      </c>
      <c r="C11" s="150">
        <v>645713</v>
      </c>
      <c r="D11" s="150">
        <f>B11+C11</f>
        <v>53734417.600000001</v>
      </c>
      <c r="E11" s="150">
        <v>52796269.939999998</v>
      </c>
      <c r="F11" s="150">
        <v>52796269.939999998</v>
      </c>
      <c r="G11" s="150">
        <f>D11-E11</f>
        <v>938147.66000000387</v>
      </c>
    </row>
    <row r="12" spans="1:7" x14ac:dyDescent="0.25">
      <c r="A12" s="75" t="s">
        <v>288</v>
      </c>
      <c r="B12" s="150">
        <v>1332270.6499999999</v>
      </c>
      <c r="C12" s="150">
        <v>1628000</v>
      </c>
      <c r="D12" s="150">
        <f t="shared" ref="D12:D17" si="2">B12+C12</f>
        <v>2960270.65</v>
      </c>
      <c r="E12" s="150">
        <v>2609901.2000000002</v>
      </c>
      <c r="F12" s="150">
        <v>2609901.2000000002</v>
      </c>
      <c r="G12" s="150">
        <f t="shared" ref="G12:G17" si="3">D12-E12</f>
        <v>350369.44999999972</v>
      </c>
    </row>
    <row r="13" spans="1:7" x14ac:dyDescent="0.25">
      <c r="A13" s="75" t="s">
        <v>289</v>
      </c>
      <c r="B13" s="150">
        <v>13197602</v>
      </c>
      <c r="C13" s="150">
        <v>-185616</v>
      </c>
      <c r="D13" s="150">
        <f t="shared" si="2"/>
        <v>13011986</v>
      </c>
      <c r="E13" s="150">
        <v>12010195.390000001</v>
      </c>
      <c r="F13" s="150">
        <v>12010195.390000001</v>
      </c>
      <c r="G13" s="150">
        <f t="shared" si="3"/>
        <v>1001790.6099999994</v>
      </c>
    </row>
    <row r="14" spans="1:7" x14ac:dyDescent="0.25">
      <c r="A14" s="75" t="s">
        <v>290</v>
      </c>
      <c r="B14" s="150">
        <v>5288069.29</v>
      </c>
      <c r="C14" s="150">
        <v>-1300000</v>
      </c>
      <c r="D14" s="150">
        <f t="shared" si="2"/>
        <v>3988069.29</v>
      </c>
      <c r="E14" s="150">
        <v>3772944.79</v>
      </c>
      <c r="F14" s="150">
        <v>3453949.34</v>
      </c>
      <c r="G14" s="150">
        <f t="shared" si="3"/>
        <v>215124.5</v>
      </c>
    </row>
    <row r="15" spans="1:7" x14ac:dyDescent="0.25">
      <c r="A15" s="75" t="s">
        <v>291</v>
      </c>
      <c r="B15" s="150">
        <v>12141878</v>
      </c>
      <c r="C15" s="150">
        <v>191268.94</v>
      </c>
      <c r="D15" s="150">
        <f t="shared" si="2"/>
        <v>12333146.939999999</v>
      </c>
      <c r="E15" s="150">
        <v>11700162.93</v>
      </c>
      <c r="F15" s="150">
        <v>11286562.93</v>
      </c>
      <c r="G15" s="150">
        <f t="shared" si="3"/>
        <v>632984.00999999978</v>
      </c>
    </row>
    <row r="16" spans="1:7" x14ac:dyDescent="0.25">
      <c r="A16" s="75" t="s">
        <v>292</v>
      </c>
      <c r="B16" s="150">
        <v>0</v>
      </c>
      <c r="C16" s="150">
        <v>0</v>
      </c>
      <c r="D16" s="150">
        <f t="shared" si="2"/>
        <v>0</v>
      </c>
      <c r="E16" s="150">
        <v>0</v>
      </c>
      <c r="F16" s="150">
        <v>0</v>
      </c>
      <c r="G16" s="150">
        <f t="shared" si="3"/>
        <v>0</v>
      </c>
    </row>
    <row r="17" spans="1:7" x14ac:dyDescent="0.25">
      <c r="A17" s="75" t="s">
        <v>293</v>
      </c>
      <c r="B17" s="150">
        <v>6474114.4000000004</v>
      </c>
      <c r="C17" s="150">
        <v>112568</v>
      </c>
      <c r="D17" s="150">
        <f t="shared" si="2"/>
        <v>6586682.4000000004</v>
      </c>
      <c r="E17" s="150">
        <v>6487161.5</v>
      </c>
      <c r="F17" s="150">
        <v>6487161.5</v>
      </c>
      <c r="G17" s="150">
        <f t="shared" si="3"/>
        <v>99520.900000000373</v>
      </c>
    </row>
    <row r="18" spans="1:7" x14ac:dyDescent="0.25">
      <c r="A18" s="74" t="s">
        <v>294</v>
      </c>
      <c r="B18" s="151">
        <f t="shared" ref="B18:G18" si="4">SUM(B19:B27)</f>
        <v>10353951.079999998</v>
      </c>
      <c r="C18" s="151">
        <f t="shared" si="4"/>
        <v>-1409275.46</v>
      </c>
      <c r="D18" s="151">
        <f t="shared" si="4"/>
        <v>8944675.6199999973</v>
      </c>
      <c r="E18" s="151">
        <f t="shared" si="4"/>
        <v>6026429.1800000006</v>
      </c>
      <c r="F18" s="151">
        <f t="shared" si="4"/>
        <v>5890377.3100000005</v>
      </c>
      <c r="G18" s="151">
        <f t="shared" si="4"/>
        <v>2918246.4399999995</v>
      </c>
    </row>
    <row r="19" spans="1:7" x14ac:dyDescent="0.25">
      <c r="A19" s="75" t="s">
        <v>295</v>
      </c>
      <c r="B19" s="150">
        <v>2563873.71</v>
      </c>
      <c r="C19" s="150">
        <v>-268662.25</v>
      </c>
      <c r="D19" s="150">
        <f t="shared" ref="D19:D27" si="5">B19+C19</f>
        <v>2295211.46</v>
      </c>
      <c r="E19" s="150">
        <v>1846732.56</v>
      </c>
      <c r="F19" s="150">
        <v>1846732.56</v>
      </c>
      <c r="G19" s="150">
        <f t="shared" ref="G19:G27" si="6">D19-E19</f>
        <v>448478.89999999991</v>
      </c>
    </row>
    <row r="20" spans="1:7" x14ac:dyDescent="0.25">
      <c r="A20" s="75" t="s">
        <v>296</v>
      </c>
      <c r="B20" s="150">
        <v>744962.75</v>
      </c>
      <c r="C20" s="150">
        <v>-144908.23000000001</v>
      </c>
      <c r="D20" s="150">
        <f t="shared" si="5"/>
        <v>600054.52</v>
      </c>
      <c r="E20" s="150">
        <v>437052.56</v>
      </c>
      <c r="F20" s="150">
        <v>437052.56</v>
      </c>
      <c r="G20" s="150">
        <f t="shared" si="6"/>
        <v>163001.96000000002</v>
      </c>
    </row>
    <row r="21" spans="1:7" x14ac:dyDescent="0.25">
      <c r="A21" s="75" t="s">
        <v>297</v>
      </c>
      <c r="B21" s="150">
        <v>1000</v>
      </c>
      <c r="C21" s="150">
        <v>-900</v>
      </c>
      <c r="D21" s="150">
        <f t="shared" si="5"/>
        <v>100</v>
      </c>
      <c r="E21" s="150">
        <v>0</v>
      </c>
      <c r="F21" s="150">
        <v>0</v>
      </c>
      <c r="G21" s="150">
        <f t="shared" si="6"/>
        <v>100</v>
      </c>
    </row>
    <row r="22" spans="1:7" x14ac:dyDescent="0.25">
      <c r="A22" s="75" t="s">
        <v>298</v>
      </c>
      <c r="B22" s="150">
        <v>2258146.96</v>
      </c>
      <c r="C22" s="150">
        <v>253842.51</v>
      </c>
      <c r="D22" s="150">
        <f t="shared" si="5"/>
        <v>2511989.4699999997</v>
      </c>
      <c r="E22" s="150">
        <v>781569.02</v>
      </c>
      <c r="F22" s="150">
        <v>707382.15</v>
      </c>
      <c r="G22" s="150">
        <f t="shared" si="6"/>
        <v>1730420.4499999997</v>
      </c>
    </row>
    <row r="23" spans="1:7" x14ac:dyDescent="0.25">
      <c r="A23" s="75" t="s">
        <v>299</v>
      </c>
      <c r="B23" s="150">
        <v>623691.53</v>
      </c>
      <c r="C23" s="150">
        <v>-220648.89</v>
      </c>
      <c r="D23" s="150">
        <f t="shared" si="5"/>
        <v>403042.64</v>
      </c>
      <c r="E23" s="150">
        <v>279173.96999999997</v>
      </c>
      <c r="F23" s="150">
        <v>278715.96999999997</v>
      </c>
      <c r="G23" s="150">
        <f t="shared" si="6"/>
        <v>123868.67000000004</v>
      </c>
    </row>
    <row r="24" spans="1:7" x14ac:dyDescent="0.25">
      <c r="A24" s="75" t="s">
        <v>300</v>
      </c>
      <c r="B24" s="150">
        <v>1785538</v>
      </c>
      <c r="C24" s="150">
        <v>-19324.52</v>
      </c>
      <c r="D24" s="150">
        <f t="shared" si="5"/>
        <v>1766213.48</v>
      </c>
      <c r="E24" s="150">
        <v>1712911.19</v>
      </c>
      <c r="F24" s="150">
        <v>1669861.18</v>
      </c>
      <c r="G24" s="150">
        <f t="shared" si="6"/>
        <v>53302.290000000037</v>
      </c>
    </row>
    <row r="25" spans="1:7" x14ac:dyDescent="0.25">
      <c r="A25" s="75" t="s">
        <v>301</v>
      </c>
      <c r="B25" s="150">
        <v>1241649</v>
      </c>
      <c r="C25" s="150">
        <v>-634831.9</v>
      </c>
      <c r="D25" s="150">
        <f t="shared" si="5"/>
        <v>606817.1</v>
      </c>
      <c r="E25" s="150">
        <v>545049.68999999994</v>
      </c>
      <c r="F25" s="150">
        <v>541452.69999999995</v>
      </c>
      <c r="G25" s="150">
        <f t="shared" si="6"/>
        <v>61767.410000000033</v>
      </c>
    </row>
    <row r="26" spans="1:7" x14ac:dyDescent="0.25">
      <c r="A26" s="75" t="s">
        <v>302</v>
      </c>
      <c r="B26" s="150">
        <v>0</v>
      </c>
      <c r="C26" s="150">
        <v>0</v>
      </c>
      <c r="D26" s="150">
        <f t="shared" si="5"/>
        <v>0</v>
      </c>
      <c r="E26" s="150">
        <v>0</v>
      </c>
      <c r="F26" s="150">
        <v>0</v>
      </c>
      <c r="G26" s="150">
        <f t="shared" si="6"/>
        <v>0</v>
      </c>
    </row>
    <row r="27" spans="1:7" x14ac:dyDescent="0.25">
      <c r="A27" s="75" t="s">
        <v>303</v>
      </c>
      <c r="B27" s="150">
        <v>1135089.1299999999</v>
      </c>
      <c r="C27" s="150">
        <v>-373842.18</v>
      </c>
      <c r="D27" s="150">
        <f t="shared" si="5"/>
        <v>761246.95</v>
      </c>
      <c r="E27" s="150">
        <v>423940.19</v>
      </c>
      <c r="F27" s="150">
        <v>409180.19</v>
      </c>
      <c r="G27" s="150">
        <f t="shared" si="6"/>
        <v>337306.75999999995</v>
      </c>
    </row>
    <row r="28" spans="1:7" x14ac:dyDescent="0.25">
      <c r="A28" s="74" t="s">
        <v>304</v>
      </c>
      <c r="B28" s="151">
        <f t="shared" ref="B28:G28" si="7">SUM(B29:B37)</f>
        <v>26398825.530000001</v>
      </c>
      <c r="C28" s="151">
        <f t="shared" si="7"/>
        <v>3262827.5200000005</v>
      </c>
      <c r="D28" s="151">
        <f t="shared" si="7"/>
        <v>29661653.050000001</v>
      </c>
      <c r="E28" s="151">
        <f t="shared" si="7"/>
        <v>22731103.5</v>
      </c>
      <c r="F28" s="151">
        <f t="shared" si="7"/>
        <v>22598782.699999999</v>
      </c>
      <c r="G28" s="151">
        <f t="shared" si="7"/>
        <v>6930549.5499999998</v>
      </c>
    </row>
    <row r="29" spans="1:7" x14ac:dyDescent="0.25">
      <c r="A29" s="75" t="s">
        <v>305</v>
      </c>
      <c r="B29" s="150">
        <v>8296505.9500000002</v>
      </c>
      <c r="C29" s="150">
        <v>4778512</v>
      </c>
      <c r="D29" s="150">
        <f t="shared" ref="D29:D37" si="8">B29+C29</f>
        <v>13075017.949999999</v>
      </c>
      <c r="E29" s="150">
        <v>12490465.41</v>
      </c>
      <c r="F29" s="150">
        <v>12484666.41</v>
      </c>
      <c r="G29" s="150">
        <f t="shared" ref="G29:G37" si="9">D29-E29</f>
        <v>584552.53999999911</v>
      </c>
    </row>
    <row r="30" spans="1:7" x14ac:dyDescent="0.25">
      <c r="A30" s="75" t="s">
        <v>306</v>
      </c>
      <c r="B30" s="150">
        <v>274288</v>
      </c>
      <c r="C30" s="150">
        <v>105232.48</v>
      </c>
      <c r="D30" s="150">
        <f t="shared" si="8"/>
        <v>379520.48</v>
      </c>
      <c r="E30" s="150">
        <v>376617.35</v>
      </c>
      <c r="F30" s="150">
        <v>376617.35</v>
      </c>
      <c r="G30" s="150">
        <f t="shared" si="9"/>
        <v>2903.1300000000047</v>
      </c>
    </row>
    <row r="31" spans="1:7" x14ac:dyDescent="0.25">
      <c r="A31" s="75" t="s">
        <v>307</v>
      </c>
      <c r="B31" s="150">
        <v>2366125</v>
      </c>
      <c r="C31" s="150">
        <v>1078856.8899999999</v>
      </c>
      <c r="D31" s="150">
        <f t="shared" si="8"/>
        <v>3444981.8899999997</v>
      </c>
      <c r="E31" s="150">
        <v>2886671.8</v>
      </c>
      <c r="F31" s="150">
        <v>2841671.8</v>
      </c>
      <c r="G31" s="150">
        <f t="shared" si="9"/>
        <v>558310.08999999985</v>
      </c>
    </row>
    <row r="32" spans="1:7" x14ac:dyDescent="0.25">
      <c r="A32" s="75" t="s">
        <v>308</v>
      </c>
      <c r="B32" s="150">
        <v>119528.9</v>
      </c>
      <c r="C32" s="150">
        <v>144153</v>
      </c>
      <c r="D32" s="150">
        <f t="shared" si="8"/>
        <v>263681.90000000002</v>
      </c>
      <c r="E32" s="150">
        <v>157374.85</v>
      </c>
      <c r="F32" s="150">
        <v>157374.85</v>
      </c>
      <c r="G32" s="150">
        <f t="shared" si="9"/>
        <v>106307.05000000002</v>
      </c>
    </row>
    <row r="33" spans="1:7" x14ac:dyDescent="0.25">
      <c r="A33" s="75" t="s">
        <v>309</v>
      </c>
      <c r="B33" s="150">
        <v>780812</v>
      </c>
      <c r="C33" s="150">
        <v>-439830.12</v>
      </c>
      <c r="D33" s="150">
        <f t="shared" si="8"/>
        <v>340981.88</v>
      </c>
      <c r="E33" s="150">
        <v>182332.25</v>
      </c>
      <c r="F33" s="150">
        <v>180119.45</v>
      </c>
      <c r="G33" s="150">
        <f t="shared" si="9"/>
        <v>158649.63</v>
      </c>
    </row>
    <row r="34" spans="1:7" x14ac:dyDescent="0.25">
      <c r="A34" s="75" t="s">
        <v>310</v>
      </c>
      <c r="B34" s="150">
        <v>1489700</v>
      </c>
      <c r="C34" s="150">
        <v>403350</v>
      </c>
      <c r="D34" s="150">
        <f t="shared" si="8"/>
        <v>1893050</v>
      </c>
      <c r="E34" s="150">
        <v>1701914.29</v>
      </c>
      <c r="F34" s="150">
        <v>1701914.29</v>
      </c>
      <c r="G34" s="150">
        <f t="shared" si="9"/>
        <v>191135.70999999996</v>
      </c>
    </row>
    <row r="35" spans="1:7" x14ac:dyDescent="0.25">
      <c r="A35" s="75" t="s">
        <v>311</v>
      </c>
      <c r="B35" s="150">
        <v>218178.9</v>
      </c>
      <c r="C35" s="150">
        <v>-80840.600000000006</v>
      </c>
      <c r="D35" s="150">
        <f t="shared" si="8"/>
        <v>137338.29999999999</v>
      </c>
      <c r="E35" s="150">
        <v>83085.14</v>
      </c>
      <c r="F35" s="150">
        <v>83085.14</v>
      </c>
      <c r="G35" s="150">
        <f t="shared" si="9"/>
        <v>54253.159999999989</v>
      </c>
    </row>
    <row r="36" spans="1:7" x14ac:dyDescent="0.25">
      <c r="A36" s="75" t="s">
        <v>312</v>
      </c>
      <c r="B36" s="150">
        <v>1815897.88</v>
      </c>
      <c r="C36" s="150">
        <v>-142286.21</v>
      </c>
      <c r="D36" s="150">
        <f t="shared" si="8"/>
        <v>1673611.67</v>
      </c>
      <c r="E36" s="150">
        <v>1630165.97</v>
      </c>
      <c r="F36" s="150">
        <v>1630165.97</v>
      </c>
      <c r="G36" s="150">
        <f t="shared" si="9"/>
        <v>43445.699999999953</v>
      </c>
    </row>
    <row r="37" spans="1:7" x14ac:dyDescent="0.25">
      <c r="A37" s="75" t="s">
        <v>313</v>
      </c>
      <c r="B37" s="150">
        <v>11037788.9</v>
      </c>
      <c r="C37" s="150">
        <v>-2584319.92</v>
      </c>
      <c r="D37" s="150">
        <f t="shared" si="8"/>
        <v>8453468.9800000004</v>
      </c>
      <c r="E37" s="150">
        <v>3222476.44</v>
      </c>
      <c r="F37" s="150">
        <v>3143167.44</v>
      </c>
      <c r="G37" s="150">
        <f t="shared" si="9"/>
        <v>5230992.540000001</v>
      </c>
    </row>
    <row r="38" spans="1:7" x14ac:dyDescent="0.25">
      <c r="A38" s="74" t="s">
        <v>314</v>
      </c>
      <c r="B38" s="71">
        <f>SUM(B39:B47)</f>
        <v>26518464.649999999</v>
      </c>
      <c r="C38" s="71">
        <f t="shared" ref="C38:G38" si="10">SUM(C39:C47)</f>
        <v>4761302.05</v>
      </c>
      <c r="D38" s="71">
        <f t="shared" si="10"/>
        <v>31279766.700000003</v>
      </c>
      <c r="E38" s="71">
        <f t="shared" si="10"/>
        <v>30389356.489999998</v>
      </c>
      <c r="F38" s="71">
        <f t="shared" si="10"/>
        <v>30275451.159999996</v>
      </c>
      <c r="G38" s="71">
        <f t="shared" si="10"/>
        <v>890410.21000000183</v>
      </c>
    </row>
    <row r="39" spans="1:7" x14ac:dyDescent="0.25">
      <c r="A39" s="75" t="s">
        <v>315</v>
      </c>
      <c r="B39" s="150">
        <v>0</v>
      </c>
      <c r="C39" s="150">
        <v>0</v>
      </c>
      <c r="D39" s="150">
        <f t="shared" ref="D39:D47" si="11">B39+C39</f>
        <v>0</v>
      </c>
      <c r="E39" s="150">
        <v>0</v>
      </c>
      <c r="F39" s="150">
        <v>0</v>
      </c>
      <c r="G39" s="150">
        <f t="shared" ref="G39:G47" si="12">D39-E39</f>
        <v>0</v>
      </c>
    </row>
    <row r="40" spans="1:7" x14ac:dyDescent="0.25">
      <c r="A40" s="75" t="s">
        <v>316</v>
      </c>
      <c r="B40" s="150">
        <v>11970339.960000001</v>
      </c>
      <c r="C40" s="150">
        <v>75000</v>
      </c>
      <c r="D40" s="150">
        <f t="shared" si="11"/>
        <v>12045339.960000001</v>
      </c>
      <c r="E40" s="150">
        <v>12030339.939999999</v>
      </c>
      <c r="F40" s="150">
        <v>12030339.939999999</v>
      </c>
      <c r="G40" s="150">
        <f t="shared" si="12"/>
        <v>15000.020000001416</v>
      </c>
    </row>
    <row r="41" spans="1:7" x14ac:dyDescent="0.25">
      <c r="A41" s="75" t="s">
        <v>317</v>
      </c>
      <c r="B41" s="150">
        <v>220657.7</v>
      </c>
      <c r="C41" s="150">
        <v>2323947.86</v>
      </c>
      <c r="D41" s="150">
        <f t="shared" si="11"/>
        <v>2544605.56</v>
      </c>
      <c r="E41" s="150">
        <v>2139000</v>
      </c>
      <c r="F41" s="150">
        <v>2047500</v>
      </c>
      <c r="G41" s="150">
        <f t="shared" si="12"/>
        <v>405605.56000000006</v>
      </c>
    </row>
    <row r="42" spans="1:7" x14ac:dyDescent="0.25">
      <c r="A42" s="75" t="s">
        <v>318</v>
      </c>
      <c r="B42" s="150">
        <v>10087549.99</v>
      </c>
      <c r="C42" s="150">
        <v>809621.19</v>
      </c>
      <c r="D42" s="150">
        <f t="shared" si="11"/>
        <v>10897171.18</v>
      </c>
      <c r="E42" s="150">
        <v>10837109.439999999</v>
      </c>
      <c r="F42" s="150">
        <v>10814704.109999999</v>
      </c>
      <c r="G42" s="150">
        <f t="shared" si="12"/>
        <v>60061.740000000224</v>
      </c>
    </row>
    <row r="43" spans="1:7" x14ac:dyDescent="0.25">
      <c r="A43" s="75" t="s">
        <v>319</v>
      </c>
      <c r="B43" s="150">
        <v>4089917</v>
      </c>
      <c r="C43" s="150">
        <v>135463</v>
      </c>
      <c r="D43" s="150">
        <f t="shared" si="11"/>
        <v>4225380</v>
      </c>
      <c r="E43" s="150">
        <v>3815637.11</v>
      </c>
      <c r="F43" s="150">
        <v>3815637.11</v>
      </c>
      <c r="G43" s="150">
        <f t="shared" si="12"/>
        <v>409742.89000000013</v>
      </c>
    </row>
    <row r="44" spans="1:7" x14ac:dyDescent="0.25">
      <c r="A44" s="75" t="s">
        <v>320</v>
      </c>
      <c r="B44" s="150">
        <v>0</v>
      </c>
      <c r="C44" s="150">
        <v>0</v>
      </c>
      <c r="D44" s="150">
        <f t="shared" si="11"/>
        <v>0</v>
      </c>
      <c r="E44" s="150">
        <v>0</v>
      </c>
      <c r="F44" s="150">
        <v>0</v>
      </c>
      <c r="G44" s="150">
        <f t="shared" si="12"/>
        <v>0</v>
      </c>
    </row>
    <row r="45" spans="1:7" x14ac:dyDescent="0.25">
      <c r="A45" s="75" t="s">
        <v>321</v>
      </c>
      <c r="B45" s="150">
        <v>0</v>
      </c>
      <c r="C45" s="150">
        <v>0</v>
      </c>
      <c r="D45" s="150">
        <f t="shared" si="11"/>
        <v>0</v>
      </c>
      <c r="E45" s="150">
        <v>0</v>
      </c>
      <c r="F45" s="150">
        <v>0</v>
      </c>
      <c r="G45" s="150">
        <f t="shared" si="12"/>
        <v>0</v>
      </c>
    </row>
    <row r="46" spans="1:7" x14ac:dyDescent="0.25">
      <c r="A46" s="75" t="s">
        <v>322</v>
      </c>
      <c r="B46" s="150">
        <v>0</v>
      </c>
      <c r="C46" s="150">
        <f>D46-B46</f>
        <v>1426720</v>
      </c>
      <c r="D46" s="150">
        <v>1426720</v>
      </c>
      <c r="E46" s="150">
        <v>1426720</v>
      </c>
      <c r="F46" s="150">
        <v>1426720</v>
      </c>
      <c r="G46" s="150">
        <f t="shared" si="12"/>
        <v>0</v>
      </c>
    </row>
    <row r="47" spans="1:7" x14ac:dyDescent="0.25">
      <c r="A47" s="75" t="s">
        <v>323</v>
      </c>
      <c r="B47" s="150">
        <v>150000</v>
      </c>
      <c r="C47" s="150">
        <v>-9450</v>
      </c>
      <c r="D47" s="150">
        <f t="shared" si="11"/>
        <v>140550</v>
      </c>
      <c r="E47" s="150">
        <v>140550</v>
      </c>
      <c r="F47" s="150">
        <v>140550</v>
      </c>
      <c r="G47" s="150">
        <f t="shared" si="12"/>
        <v>0</v>
      </c>
    </row>
    <row r="48" spans="1:7" x14ac:dyDescent="0.25">
      <c r="A48" s="74" t="s">
        <v>324</v>
      </c>
      <c r="B48" s="71">
        <f>SUM(B49:B57)</f>
        <v>1768404.04</v>
      </c>
      <c r="C48" s="71">
        <f t="shared" ref="C48:G48" si="13">SUM(C49:C57)</f>
        <v>743440.49</v>
      </c>
      <c r="D48" s="71">
        <f t="shared" si="13"/>
        <v>2511844.5300000003</v>
      </c>
      <c r="E48" s="71">
        <f t="shared" si="13"/>
        <v>2325056.0799999996</v>
      </c>
      <c r="F48" s="71">
        <f t="shared" si="13"/>
        <v>2131853.9899999998</v>
      </c>
      <c r="G48" s="71">
        <f t="shared" si="13"/>
        <v>186788.45000000007</v>
      </c>
    </row>
    <row r="49" spans="1:7" x14ac:dyDescent="0.25">
      <c r="A49" s="75" t="s">
        <v>325</v>
      </c>
      <c r="B49" s="150">
        <v>527780.04</v>
      </c>
      <c r="C49" s="150">
        <v>244185.49</v>
      </c>
      <c r="D49" s="150">
        <f t="shared" ref="D49:D57" si="14">B49+C49</f>
        <v>771965.53</v>
      </c>
      <c r="E49" s="150">
        <v>687821.98</v>
      </c>
      <c r="F49" s="150">
        <v>616409.88</v>
      </c>
      <c r="G49" s="150">
        <f t="shared" ref="G49:G57" si="15">D49-E49</f>
        <v>84143.550000000047</v>
      </c>
    </row>
    <row r="50" spans="1:7" x14ac:dyDescent="0.25">
      <c r="A50" s="75" t="s">
        <v>326</v>
      </c>
      <c r="B50" s="150">
        <v>145329</v>
      </c>
      <c r="C50" s="150">
        <v>1000</v>
      </c>
      <c r="D50" s="150">
        <f t="shared" si="14"/>
        <v>146329</v>
      </c>
      <c r="E50" s="150">
        <v>125080.49</v>
      </c>
      <c r="F50" s="150">
        <v>93250.5</v>
      </c>
      <c r="G50" s="150">
        <f t="shared" si="15"/>
        <v>21248.509999999995</v>
      </c>
    </row>
    <row r="51" spans="1:7" x14ac:dyDescent="0.25">
      <c r="A51" s="75" t="s">
        <v>327</v>
      </c>
      <c r="B51" s="150">
        <v>0</v>
      </c>
      <c r="C51" s="150">
        <v>0</v>
      </c>
      <c r="D51" s="150">
        <f t="shared" si="14"/>
        <v>0</v>
      </c>
      <c r="E51" s="150">
        <v>0</v>
      </c>
      <c r="F51" s="150">
        <v>0</v>
      </c>
      <c r="G51" s="150">
        <f t="shared" si="15"/>
        <v>0</v>
      </c>
    </row>
    <row r="52" spans="1:7" x14ac:dyDescent="0.25">
      <c r="A52" s="75" t="s">
        <v>328</v>
      </c>
      <c r="B52" s="150">
        <v>976000</v>
      </c>
      <c r="C52" s="150">
        <v>530000</v>
      </c>
      <c r="D52" s="150">
        <f t="shared" si="14"/>
        <v>1506000</v>
      </c>
      <c r="E52" s="150">
        <v>1452122</v>
      </c>
      <c r="F52" s="150">
        <v>1362162</v>
      </c>
      <c r="G52" s="150">
        <f t="shared" si="15"/>
        <v>53878</v>
      </c>
    </row>
    <row r="53" spans="1:7" x14ac:dyDescent="0.25">
      <c r="A53" s="75" t="s">
        <v>329</v>
      </c>
      <c r="B53" s="150">
        <v>0</v>
      </c>
      <c r="C53" s="150">
        <v>0</v>
      </c>
      <c r="D53" s="150">
        <f t="shared" si="14"/>
        <v>0</v>
      </c>
      <c r="E53" s="150">
        <v>0</v>
      </c>
      <c r="F53" s="150">
        <v>0</v>
      </c>
      <c r="G53" s="150">
        <f t="shared" si="15"/>
        <v>0</v>
      </c>
    </row>
    <row r="54" spans="1:7" x14ac:dyDescent="0.25">
      <c r="A54" s="75" t="s">
        <v>330</v>
      </c>
      <c r="B54" s="150">
        <v>95445</v>
      </c>
      <c r="C54" s="150">
        <v>-10795</v>
      </c>
      <c r="D54" s="150">
        <f t="shared" si="14"/>
        <v>84650</v>
      </c>
      <c r="E54" s="150">
        <v>60031.61</v>
      </c>
      <c r="F54" s="150">
        <v>60031.61</v>
      </c>
      <c r="G54" s="150">
        <f t="shared" si="15"/>
        <v>24618.39</v>
      </c>
    </row>
    <row r="55" spans="1:7" x14ac:dyDescent="0.25">
      <c r="A55" s="75" t="s">
        <v>331</v>
      </c>
      <c r="B55" s="150">
        <v>0</v>
      </c>
      <c r="C55" s="150">
        <v>0</v>
      </c>
      <c r="D55" s="150">
        <f t="shared" si="14"/>
        <v>0</v>
      </c>
      <c r="E55" s="150">
        <v>0</v>
      </c>
      <c r="F55" s="150">
        <v>0</v>
      </c>
      <c r="G55" s="150">
        <f t="shared" si="15"/>
        <v>0</v>
      </c>
    </row>
    <row r="56" spans="1:7" x14ac:dyDescent="0.25">
      <c r="A56" s="75" t="s">
        <v>332</v>
      </c>
      <c r="B56" s="150">
        <v>0</v>
      </c>
      <c r="C56" s="150">
        <v>0</v>
      </c>
      <c r="D56" s="150">
        <f t="shared" si="14"/>
        <v>0</v>
      </c>
      <c r="E56" s="150">
        <v>0</v>
      </c>
      <c r="F56" s="150">
        <v>0</v>
      </c>
      <c r="G56" s="150">
        <f t="shared" si="15"/>
        <v>0</v>
      </c>
    </row>
    <row r="57" spans="1:7" x14ac:dyDescent="0.25">
      <c r="A57" s="75" t="s">
        <v>333</v>
      </c>
      <c r="B57" s="150">
        <v>23850</v>
      </c>
      <c r="C57" s="150">
        <v>-20950</v>
      </c>
      <c r="D57" s="150">
        <f t="shared" si="14"/>
        <v>2900</v>
      </c>
      <c r="E57" s="150">
        <v>0</v>
      </c>
      <c r="F57" s="150">
        <v>0</v>
      </c>
      <c r="G57" s="150">
        <f t="shared" si="15"/>
        <v>2900</v>
      </c>
    </row>
    <row r="58" spans="1:7" x14ac:dyDescent="0.25">
      <c r="A58" s="74" t="s">
        <v>334</v>
      </c>
      <c r="B58" s="71">
        <f>SUM(B59:B61)</f>
        <v>27086681.829999998</v>
      </c>
      <c r="C58" s="71">
        <f t="shared" ref="C58:G58" si="16">SUM(C59:C61)</f>
        <v>15824525.15</v>
      </c>
      <c r="D58" s="71">
        <f t="shared" si="16"/>
        <v>42911206.979999997</v>
      </c>
      <c r="E58" s="71">
        <f t="shared" si="16"/>
        <v>12880483.360000001</v>
      </c>
      <c r="F58" s="71">
        <f t="shared" si="16"/>
        <v>7491890.2999999998</v>
      </c>
      <c r="G58" s="71">
        <f t="shared" si="16"/>
        <v>30030723.619999997</v>
      </c>
    </row>
    <row r="59" spans="1:7" x14ac:dyDescent="0.25">
      <c r="A59" s="75" t="s">
        <v>335</v>
      </c>
      <c r="B59" s="150">
        <v>27086681.829999998</v>
      </c>
      <c r="C59" s="150">
        <v>15786122.470000001</v>
      </c>
      <c r="D59" s="150">
        <f t="shared" ref="D59:D61" si="17">B59+C59</f>
        <v>42872804.299999997</v>
      </c>
      <c r="E59" s="150">
        <v>12842536.800000001</v>
      </c>
      <c r="F59" s="150">
        <v>7486902.2000000002</v>
      </c>
      <c r="G59" s="150">
        <f t="shared" ref="G59:G61" si="18">D59-E59</f>
        <v>30030267.499999996</v>
      </c>
    </row>
    <row r="60" spans="1:7" x14ac:dyDescent="0.25">
      <c r="A60" s="75" t="s">
        <v>336</v>
      </c>
      <c r="B60" s="150">
        <v>0</v>
      </c>
      <c r="C60" s="150">
        <v>0</v>
      </c>
      <c r="D60" s="150">
        <f t="shared" si="17"/>
        <v>0</v>
      </c>
      <c r="E60" s="150">
        <v>0</v>
      </c>
      <c r="F60" s="150">
        <v>0</v>
      </c>
      <c r="G60" s="150">
        <f t="shared" si="18"/>
        <v>0</v>
      </c>
    </row>
    <row r="61" spans="1:7" x14ac:dyDescent="0.25">
      <c r="A61" s="75" t="s">
        <v>337</v>
      </c>
      <c r="B61" s="150">
        <v>0</v>
      </c>
      <c r="C61" s="150">
        <v>38402.68</v>
      </c>
      <c r="D61" s="150">
        <f t="shared" si="17"/>
        <v>38402.68</v>
      </c>
      <c r="E61" s="150">
        <v>37946.559999999998</v>
      </c>
      <c r="F61" s="150">
        <v>4988.1000000000004</v>
      </c>
      <c r="G61" s="150">
        <f t="shared" si="18"/>
        <v>456.12000000000262</v>
      </c>
    </row>
    <row r="62" spans="1:7" x14ac:dyDescent="0.25">
      <c r="A62" s="74" t="s">
        <v>338</v>
      </c>
      <c r="B62" s="151">
        <f t="shared" ref="B62:G62" si="19">SUM(B63:B67,B69:B70)</f>
        <v>0</v>
      </c>
      <c r="C62" s="151">
        <f t="shared" si="19"/>
        <v>0</v>
      </c>
      <c r="D62" s="151">
        <f t="shared" si="19"/>
        <v>0</v>
      </c>
      <c r="E62" s="151">
        <f t="shared" si="19"/>
        <v>0</v>
      </c>
      <c r="F62" s="151">
        <f t="shared" si="19"/>
        <v>0</v>
      </c>
      <c r="G62" s="151">
        <f t="shared" si="19"/>
        <v>0</v>
      </c>
    </row>
    <row r="63" spans="1:7" x14ac:dyDescent="0.25">
      <c r="A63" s="75" t="s">
        <v>339</v>
      </c>
      <c r="B63" s="150">
        <v>0</v>
      </c>
      <c r="C63" s="150">
        <v>0</v>
      </c>
      <c r="D63" s="150">
        <f t="shared" ref="D63:D70" si="20">B63+C63</f>
        <v>0</v>
      </c>
      <c r="E63" s="150">
        <v>0</v>
      </c>
      <c r="F63" s="150">
        <v>0</v>
      </c>
      <c r="G63" s="150">
        <f t="shared" ref="G63:G70" si="21">D63-E63</f>
        <v>0</v>
      </c>
    </row>
    <row r="64" spans="1:7" x14ac:dyDescent="0.25">
      <c r="A64" s="75" t="s">
        <v>340</v>
      </c>
      <c r="B64" s="150">
        <v>0</v>
      </c>
      <c r="C64" s="150">
        <v>0</v>
      </c>
      <c r="D64" s="150">
        <f t="shared" si="20"/>
        <v>0</v>
      </c>
      <c r="E64" s="150">
        <v>0</v>
      </c>
      <c r="F64" s="150">
        <v>0</v>
      </c>
      <c r="G64" s="150">
        <f t="shared" si="21"/>
        <v>0</v>
      </c>
    </row>
    <row r="65" spans="1:7" x14ac:dyDescent="0.25">
      <c r="A65" s="75" t="s">
        <v>341</v>
      </c>
      <c r="B65" s="150">
        <v>0</v>
      </c>
      <c r="C65" s="150">
        <v>0</v>
      </c>
      <c r="D65" s="150">
        <f t="shared" si="20"/>
        <v>0</v>
      </c>
      <c r="E65" s="150">
        <v>0</v>
      </c>
      <c r="F65" s="150">
        <v>0</v>
      </c>
      <c r="G65" s="150">
        <f t="shared" si="21"/>
        <v>0</v>
      </c>
    </row>
    <row r="66" spans="1:7" x14ac:dyDescent="0.25">
      <c r="A66" s="75" t="s">
        <v>342</v>
      </c>
      <c r="B66" s="150">
        <v>0</v>
      </c>
      <c r="C66" s="150">
        <v>0</v>
      </c>
      <c r="D66" s="150">
        <f t="shared" si="20"/>
        <v>0</v>
      </c>
      <c r="E66" s="150">
        <v>0</v>
      </c>
      <c r="F66" s="150">
        <v>0</v>
      </c>
      <c r="G66" s="150">
        <f t="shared" si="21"/>
        <v>0</v>
      </c>
    </row>
    <row r="67" spans="1:7" x14ac:dyDescent="0.25">
      <c r="A67" s="75" t="s">
        <v>343</v>
      </c>
      <c r="B67" s="150">
        <v>0</v>
      </c>
      <c r="C67" s="150">
        <v>0</v>
      </c>
      <c r="D67" s="150">
        <f t="shared" si="20"/>
        <v>0</v>
      </c>
      <c r="E67" s="150">
        <v>0</v>
      </c>
      <c r="F67" s="150">
        <v>0</v>
      </c>
      <c r="G67" s="150">
        <f t="shared" si="21"/>
        <v>0</v>
      </c>
    </row>
    <row r="68" spans="1:7" x14ac:dyDescent="0.25">
      <c r="A68" s="75" t="s">
        <v>3293</v>
      </c>
      <c r="B68" s="150">
        <v>0</v>
      </c>
      <c r="C68" s="150">
        <v>0</v>
      </c>
      <c r="D68" s="150">
        <f t="shared" si="20"/>
        <v>0</v>
      </c>
      <c r="E68" s="150">
        <v>0</v>
      </c>
      <c r="F68" s="150">
        <v>0</v>
      </c>
      <c r="G68" s="150">
        <f t="shared" si="21"/>
        <v>0</v>
      </c>
    </row>
    <row r="69" spans="1:7" x14ac:dyDescent="0.25">
      <c r="A69" s="75" t="s">
        <v>345</v>
      </c>
      <c r="B69" s="150">
        <v>0</v>
      </c>
      <c r="C69" s="150">
        <v>0</v>
      </c>
      <c r="D69" s="150">
        <f t="shared" si="20"/>
        <v>0</v>
      </c>
      <c r="E69" s="150">
        <v>0</v>
      </c>
      <c r="F69" s="150">
        <v>0</v>
      </c>
      <c r="G69" s="150">
        <f t="shared" si="21"/>
        <v>0</v>
      </c>
    </row>
    <row r="70" spans="1:7" x14ac:dyDescent="0.25">
      <c r="A70" s="75" t="s">
        <v>346</v>
      </c>
      <c r="B70" s="150">
        <v>0</v>
      </c>
      <c r="C70" s="150">
        <v>0</v>
      </c>
      <c r="D70" s="150">
        <f t="shared" si="20"/>
        <v>0</v>
      </c>
      <c r="E70" s="150">
        <v>0</v>
      </c>
      <c r="F70" s="150">
        <v>0</v>
      </c>
      <c r="G70" s="150">
        <f t="shared" si="21"/>
        <v>0</v>
      </c>
    </row>
    <row r="71" spans="1:7" x14ac:dyDescent="0.25">
      <c r="A71" s="74" t="s">
        <v>347</v>
      </c>
      <c r="B71" s="151">
        <f t="shared" ref="B71:G71" si="22">SUM(B72:B74)</f>
        <v>0</v>
      </c>
      <c r="C71" s="151">
        <f t="shared" si="22"/>
        <v>0</v>
      </c>
      <c r="D71" s="151">
        <f t="shared" si="22"/>
        <v>0</v>
      </c>
      <c r="E71" s="151">
        <f t="shared" si="22"/>
        <v>0</v>
      </c>
      <c r="F71" s="151">
        <f t="shared" si="22"/>
        <v>0</v>
      </c>
      <c r="G71" s="151">
        <f t="shared" si="22"/>
        <v>0</v>
      </c>
    </row>
    <row r="72" spans="1:7" x14ac:dyDescent="0.25">
      <c r="A72" s="75" t="s">
        <v>348</v>
      </c>
      <c r="B72" s="150">
        <v>0</v>
      </c>
      <c r="C72" s="150">
        <v>0</v>
      </c>
      <c r="D72" s="150">
        <f t="shared" ref="D72:D74" si="23">B72+C72</f>
        <v>0</v>
      </c>
      <c r="E72" s="150">
        <v>0</v>
      </c>
      <c r="F72" s="150">
        <v>0</v>
      </c>
      <c r="G72" s="150">
        <f t="shared" ref="G72:G74" si="24">D72-E72</f>
        <v>0</v>
      </c>
    </row>
    <row r="73" spans="1:7" x14ac:dyDescent="0.25">
      <c r="A73" s="75" t="s">
        <v>349</v>
      </c>
      <c r="B73" s="150">
        <v>0</v>
      </c>
      <c r="C73" s="150">
        <v>0</v>
      </c>
      <c r="D73" s="150">
        <f t="shared" si="23"/>
        <v>0</v>
      </c>
      <c r="E73" s="150">
        <v>0</v>
      </c>
      <c r="F73" s="150">
        <v>0</v>
      </c>
      <c r="G73" s="150">
        <f t="shared" si="24"/>
        <v>0</v>
      </c>
    </row>
    <row r="74" spans="1:7" x14ac:dyDescent="0.25">
      <c r="A74" s="75" t="s">
        <v>350</v>
      </c>
      <c r="B74" s="150">
        <v>0</v>
      </c>
      <c r="C74" s="150">
        <v>0</v>
      </c>
      <c r="D74" s="150">
        <f t="shared" si="23"/>
        <v>0</v>
      </c>
      <c r="E74" s="150">
        <v>0</v>
      </c>
      <c r="F74" s="150">
        <v>0</v>
      </c>
      <c r="G74" s="150">
        <f t="shared" si="24"/>
        <v>0</v>
      </c>
    </row>
    <row r="75" spans="1:7" x14ac:dyDescent="0.25">
      <c r="A75" s="74" t="s">
        <v>351</v>
      </c>
      <c r="B75" s="151">
        <f t="shared" ref="B75:G75" si="25">SUM(B76:B82)</f>
        <v>0</v>
      </c>
      <c r="C75" s="151">
        <f t="shared" si="25"/>
        <v>0</v>
      </c>
      <c r="D75" s="151">
        <f t="shared" si="25"/>
        <v>0</v>
      </c>
      <c r="E75" s="151">
        <f t="shared" si="25"/>
        <v>0</v>
      </c>
      <c r="F75" s="151">
        <f t="shared" si="25"/>
        <v>0</v>
      </c>
      <c r="G75" s="151">
        <f t="shared" si="25"/>
        <v>0</v>
      </c>
    </row>
    <row r="76" spans="1:7" x14ac:dyDescent="0.25">
      <c r="A76" s="75" t="s">
        <v>352</v>
      </c>
      <c r="B76" s="150">
        <v>0</v>
      </c>
      <c r="C76" s="150">
        <v>0</v>
      </c>
      <c r="D76" s="150">
        <f t="shared" ref="D76:D82" si="26">B76+C76</f>
        <v>0</v>
      </c>
      <c r="E76" s="150">
        <v>0</v>
      </c>
      <c r="F76" s="150">
        <v>0</v>
      </c>
      <c r="G76" s="150">
        <f t="shared" ref="G76:G82" si="27">D76-E76</f>
        <v>0</v>
      </c>
    </row>
    <row r="77" spans="1:7" x14ac:dyDescent="0.25">
      <c r="A77" s="75" t="s">
        <v>353</v>
      </c>
      <c r="B77" s="150">
        <v>0</v>
      </c>
      <c r="C77" s="150">
        <v>0</v>
      </c>
      <c r="D77" s="150">
        <f t="shared" si="26"/>
        <v>0</v>
      </c>
      <c r="E77" s="150">
        <v>0</v>
      </c>
      <c r="F77" s="150">
        <v>0</v>
      </c>
      <c r="G77" s="150">
        <f t="shared" si="27"/>
        <v>0</v>
      </c>
    </row>
    <row r="78" spans="1:7" x14ac:dyDescent="0.25">
      <c r="A78" s="75" t="s">
        <v>354</v>
      </c>
      <c r="B78" s="150">
        <v>0</v>
      </c>
      <c r="C78" s="150">
        <v>0</v>
      </c>
      <c r="D78" s="150">
        <f t="shared" si="26"/>
        <v>0</v>
      </c>
      <c r="E78" s="150">
        <v>0</v>
      </c>
      <c r="F78" s="150">
        <v>0</v>
      </c>
      <c r="G78" s="150">
        <f t="shared" si="27"/>
        <v>0</v>
      </c>
    </row>
    <row r="79" spans="1:7" x14ac:dyDescent="0.25">
      <c r="A79" s="75" t="s">
        <v>355</v>
      </c>
      <c r="B79" s="150">
        <v>0</v>
      </c>
      <c r="C79" s="150">
        <v>0</v>
      </c>
      <c r="D79" s="150">
        <f t="shared" si="26"/>
        <v>0</v>
      </c>
      <c r="E79" s="150">
        <v>0</v>
      </c>
      <c r="F79" s="150">
        <v>0</v>
      </c>
      <c r="G79" s="150">
        <f t="shared" si="27"/>
        <v>0</v>
      </c>
    </row>
    <row r="80" spans="1:7" x14ac:dyDescent="0.25">
      <c r="A80" s="75" t="s">
        <v>356</v>
      </c>
      <c r="B80" s="150">
        <v>0</v>
      </c>
      <c r="C80" s="150">
        <v>0</v>
      </c>
      <c r="D80" s="150">
        <f t="shared" si="26"/>
        <v>0</v>
      </c>
      <c r="E80" s="150">
        <v>0</v>
      </c>
      <c r="F80" s="150">
        <v>0</v>
      </c>
      <c r="G80" s="150">
        <f t="shared" si="27"/>
        <v>0</v>
      </c>
    </row>
    <row r="81" spans="1:7" x14ac:dyDescent="0.25">
      <c r="A81" s="75" t="s">
        <v>357</v>
      </c>
      <c r="B81" s="150">
        <v>0</v>
      </c>
      <c r="C81" s="150">
        <v>0</v>
      </c>
      <c r="D81" s="150">
        <f t="shared" si="26"/>
        <v>0</v>
      </c>
      <c r="E81" s="150">
        <v>0</v>
      </c>
      <c r="F81" s="150">
        <v>0</v>
      </c>
      <c r="G81" s="150">
        <f t="shared" si="27"/>
        <v>0</v>
      </c>
    </row>
    <row r="82" spans="1:7" x14ac:dyDescent="0.25">
      <c r="A82" s="75" t="s">
        <v>358</v>
      </c>
      <c r="B82" s="150">
        <v>0</v>
      </c>
      <c r="C82" s="150">
        <v>0</v>
      </c>
      <c r="D82" s="150">
        <f t="shared" si="26"/>
        <v>0</v>
      </c>
      <c r="E82" s="150">
        <v>0</v>
      </c>
      <c r="F82" s="150">
        <v>0</v>
      </c>
      <c r="G82" s="150">
        <f t="shared" si="27"/>
        <v>0</v>
      </c>
    </row>
    <row r="83" spans="1:7" x14ac:dyDescent="0.25">
      <c r="A83" s="76"/>
      <c r="B83" s="72"/>
      <c r="C83" s="72"/>
      <c r="D83" s="72"/>
      <c r="E83" s="72"/>
      <c r="F83" s="72"/>
      <c r="G83" s="72"/>
    </row>
    <row r="84" spans="1:7" x14ac:dyDescent="0.25">
      <c r="A84" s="77" t="s">
        <v>359</v>
      </c>
      <c r="B84" s="152">
        <f t="shared" ref="B84:G84" si="28">SUM(B85,B93,B103,B113,B123,B133,B137,B146,B150)</f>
        <v>438604834.11999995</v>
      </c>
      <c r="C84" s="152">
        <f t="shared" si="28"/>
        <v>-58390518.319999993</v>
      </c>
      <c r="D84" s="152">
        <f t="shared" si="28"/>
        <v>380214315.80000001</v>
      </c>
      <c r="E84" s="152">
        <f t="shared" si="28"/>
        <v>179716442.11000001</v>
      </c>
      <c r="F84" s="152">
        <f t="shared" si="28"/>
        <v>153665596</v>
      </c>
      <c r="G84" s="152">
        <f t="shared" si="28"/>
        <v>200497873.69</v>
      </c>
    </row>
    <row r="85" spans="1:7" x14ac:dyDescent="0.25">
      <c r="A85" s="74" t="s">
        <v>286</v>
      </c>
      <c r="B85" s="151">
        <f t="shared" ref="B85:G85" si="29">SUM(B86:B92)</f>
        <v>47801372.699999996</v>
      </c>
      <c r="C85" s="151">
        <f t="shared" si="29"/>
        <v>-5665763.8300000001</v>
      </c>
      <c r="D85" s="151">
        <f t="shared" si="29"/>
        <v>42135608.869999997</v>
      </c>
      <c r="E85" s="151">
        <f t="shared" si="29"/>
        <v>41577663.219999999</v>
      </c>
      <c r="F85" s="151">
        <f t="shared" si="29"/>
        <v>41205279.18</v>
      </c>
      <c r="G85" s="151">
        <f t="shared" si="29"/>
        <v>557945.64999999898</v>
      </c>
    </row>
    <row r="86" spans="1:7" x14ac:dyDescent="0.25">
      <c r="A86" s="75" t="s">
        <v>287</v>
      </c>
      <c r="B86" s="136">
        <v>30175938.399999999</v>
      </c>
      <c r="C86" s="136">
        <v>-2412463.4500000002</v>
      </c>
      <c r="D86" s="150">
        <f t="shared" ref="D86:D92" si="30">B86+C86</f>
        <v>27763474.949999999</v>
      </c>
      <c r="E86" s="136">
        <v>27705707.030000001</v>
      </c>
      <c r="F86" s="136">
        <v>27705707.030000001</v>
      </c>
      <c r="G86" s="136">
        <f>D86-E86</f>
        <v>57767.919999998063</v>
      </c>
    </row>
    <row r="87" spans="1:7" x14ac:dyDescent="0.25">
      <c r="A87" s="75" t="s">
        <v>288</v>
      </c>
      <c r="B87" s="136">
        <v>1179151.7</v>
      </c>
      <c r="C87" s="136">
        <v>-251019.07</v>
      </c>
      <c r="D87" s="150">
        <f t="shared" si="30"/>
        <v>928132.62999999989</v>
      </c>
      <c r="E87" s="136">
        <v>518850</v>
      </c>
      <c r="F87" s="136">
        <v>518850</v>
      </c>
      <c r="G87" s="136">
        <f t="shared" ref="G87:G92" si="31">D87-E87</f>
        <v>409282.62999999989</v>
      </c>
    </row>
    <row r="88" spans="1:7" x14ac:dyDescent="0.25">
      <c r="A88" s="75" t="s">
        <v>289</v>
      </c>
      <c r="B88" s="136">
        <v>5470217</v>
      </c>
      <c r="C88" s="136">
        <v>-431845.2</v>
      </c>
      <c r="D88" s="150">
        <f t="shared" si="30"/>
        <v>5038371.8</v>
      </c>
      <c r="E88" s="136">
        <v>4978021.2699999996</v>
      </c>
      <c r="F88" s="136">
        <v>4978021.2699999996</v>
      </c>
      <c r="G88" s="136">
        <f t="shared" si="31"/>
        <v>60350.530000000261</v>
      </c>
    </row>
    <row r="89" spans="1:7" x14ac:dyDescent="0.25">
      <c r="A89" s="75" t="s">
        <v>290</v>
      </c>
      <c r="B89" s="136">
        <v>4056000</v>
      </c>
      <c r="C89" s="136">
        <v>-96593.25</v>
      </c>
      <c r="D89" s="150">
        <f t="shared" si="30"/>
        <v>3959406.75</v>
      </c>
      <c r="E89" s="136">
        <v>3946502.6</v>
      </c>
      <c r="F89" s="136">
        <v>3574118.56</v>
      </c>
      <c r="G89" s="136">
        <f t="shared" si="31"/>
        <v>12904.149999999907</v>
      </c>
    </row>
    <row r="90" spans="1:7" x14ac:dyDescent="0.25">
      <c r="A90" s="75" t="s">
        <v>291</v>
      </c>
      <c r="B90" s="136">
        <v>6874960</v>
      </c>
      <c r="C90" s="136">
        <v>-2473842.86</v>
      </c>
      <c r="D90" s="150">
        <f t="shared" si="30"/>
        <v>4401117.1400000006</v>
      </c>
      <c r="E90" s="136">
        <v>4383476.72</v>
      </c>
      <c r="F90" s="136">
        <v>4383476.72</v>
      </c>
      <c r="G90" s="136">
        <f t="shared" si="31"/>
        <v>17640.420000000857</v>
      </c>
    </row>
    <row r="91" spans="1:7" x14ac:dyDescent="0.25">
      <c r="A91" s="75" t="s">
        <v>292</v>
      </c>
      <c r="B91" s="136">
        <v>0</v>
      </c>
      <c r="C91" s="136">
        <v>0</v>
      </c>
      <c r="D91" s="150">
        <f t="shared" si="30"/>
        <v>0</v>
      </c>
      <c r="E91" s="136">
        <v>0</v>
      </c>
      <c r="F91" s="136">
        <v>0</v>
      </c>
      <c r="G91" s="136">
        <f t="shared" si="31"/>
        <v>0</v>
      </c>
    </row>
    <row r="92" spans="1:7" x14ac:dyDescent="0.25">
      <c r="A92" s="75" t="s">
        <v>293</v>
      </c>
      <c r="B92" s="136">
        <v>45105.599999999999</v>
      </c>
      <c r="C92" s="136">
        <v>0</v>
      </c>
      <c r="D92" s="150">
        <f t="shared" si="30"/>
        <v>45105.599999999999</v>
      </c>
      <c r="E92" s="136">
        <v>45105.599999999999</v>
      </c>
      <c r="F92" s="136">
        <v>45105.599999999999</v>
      </c>
      <c r="G92" s="136">
        <f t="shared" si="31"/>
        <v>0</v>
      </c>
    </row>
    <row r="93" spans="1:7" x14ac:dyDescent="0.25">
      <c r="A93" s="74" t="s">
        <v>294</v>
      </c>
      <c r="B93" s="151">
        <f t="shared" ref="B93:G93" si="32">SUM(B94:B102)</f>
        <v>17336186.009999998</v>
      </c>
      <c r="C93" s="151">
        <f t="shared" si="32"/>
        <v>1405512.1799999995</v>
      </c>
      <c r="D93" s="151">
        <f t="shared" si="32"/>
        <v>18741698.190000001</v>
      </c>
      <c r="E93" s="151">
        <f t="shared" si="32"/>
        <v>17770863.050000001</v>
      </c>
      <c r="F93" s="151">
        <f t="shared" si="32"/>
        <v>16272906.690000001</v>
      </c>
      <c r="G93" s="151">
        <f t="shared" si="32"/>
        <v>970835.13999999943</v>
      </c>
    </row>
    <row r="94" spans="1:7" x14ac:dyDescent="0.25">
      <c r="A94" s="75" t="s">
        <v>295</v>
      </c>
      <c r="B94" s="136">
        <v>469645.1</v>
      </c>
      <c r="C94" s="136">
        <v>408467.88</v>
      </c>
      <c r="D94" s="150">
        <f t="shared" ref="D94:D102" si="33">B94+C94</f>
        <v>878112.98</v>
      </c>
      <c r="E94" s="136">
        <v>790326.93</v>
      </c>
      <c r="F94" s="136">
        <v>770121.59</v>
      </c>
      <c r="G94" s="136">
        <f t="shared" ref="G94:G102" si="34">D94-E94</f>
        <v>87786.04999999993</v>
      </c>
    </row>
    <row r="95" spans="1:7" x14ac:dyDescent="0.25">
      <c r="A95" s="75" t="s">
        <v>296</v>
      </c>
      <c r="B95" s="136">
        <v>1368</v>
      </c>
      <c r="C95" s="136">
        <v>159874.22</v>
      </c>
      <c r="D95" s="150">
        <f t="shared" si="33"/>
        <v>161242.22</v>
      </c>
      <c r="E95" s="136">
        <v>134542.23000000001</v>
      </c>
      <c r="F95" s="136">
        <v>114414.41</v>
      </c>
      <c r="G95" s="136">
        <f t="shared" si="34"/>
        <v>26699.989999999991</v>
      </c>
    </row>
    <row r="96" spans="1:7" x14ac:dyDescent="0.25">
      <c r="A96" s="75" t="s">
        <v>297</v>
      </c>
      <c r="B96" s="136">
        <v>0</v>
      </c>
      <c r="C96" s="136">
        <v>25900</v>
      </c>
      <c r="D96" s="150">
        <f t="shared" si="33"/>
        <v>25900</v>
      </c>
      <c r="E96" s="136">
        <v>3850</v>
      </c>
      <c r="F96" s="136">
        <v>3850</v>
      </c>
      <c r="G96" s="136">
        <f t="shared" si="34"/>
        <v>22050</v>
      </c>
    </row>
    <row r="97" spans="1:7" x14ac:dyDescent="0.25">
      <c r="A97" s="75" t="s">
        <v>298</v>
      </c>
      <c r="B97" s="136">
        <v>3709459.35</v>
      </c>
      <c r="C97" s="136">
        <v>1320931.05</v>
      </c>
      <c r="D97" s="150">
        <f t="shared" si="33"/>
        <v>5030390.4000000004</v>
      </c>
      <c r="E97" s="136">
        <v>4585731.6500000004</v>
      </c>
      <c r="F97" s="136">
        <v>4191150.1</v>
      </c>
      <c r="G97" s="136">
        <f t="shared" si="34"/>
        <v>444658.75</v>
      </c>
    </row>
    <row r="98" spans="1:7" x14ac:dyDescent="0.25">
      <c r="A98" s="40" t="s">
        <v>299</v>
      </c>
      <c r="B98" s="136">
        <v>162050.41</v>
      </c>
      <c r="C98" s="136">
        <v>6759.17</v>
      </c>
      <c r="D98" s="150">
        <f t="shared" si="33"/>
        <v>168809.58000000002</v>
      </c>
      <c r="E98" s="136">
        <v>87778.18</v>
      </c>
      <c r="F98" s="136">
        <v>69064.070000000007</v>
      </c>
      <c r="G98" s="136">
        <f t="shared" si="34"/>
        <v>81031.400000000023</v>
      </c>
    </row>
    <row r="99" spans="1:7" x14ac:dyDescent="0.25">
      <c r="A99" s="75" t="s">
        <v>300</v>
      </c>
      <c r="B99" s="136">
        <v>7422252.7999999998</v>
      </c>
      <c r="C99" s="136">
        <v>1825606.95</v>
      </c>
      <c r="D99" s="150">
        <f t="shared" si="33"/>
        <v>9247859.75</v>
      </c>
      <c r="E99" s="136">
        <v>9161857.5600000005</v>
      </c>
      <c r="F99" s="136">
        <v>8843614.4000000004</v>
      </c>
      <c r="G99" s="136">
        <f t="shared" si="34"/>
        <v>86002.189999999478</v>
      </c>
    </row>
    <row r="100" spans="1:7" x14ac:dyDescent="0.25">
      <c r="A100" s="75" t="s">
        <v>301</v>
      </c>
      <c r="B100" s="136">
        <v>2484877.1</v>
      </c>
      <c r="C100" s="136">
        <v>-1302618.1000000001</v>
      </c>
      <c r="D100" s="150">
        <f t="shared" si="33"/>
        <v>1182259</v>
      </c>
      <c r="E100" s="136">
        <v>1138140.96</v>
      </c>
      <c r="F100" s="136">
        <v>483608.64</v>
      </c>
      <c r="G100" s="136">
        <f t="shared" si="34"/>
        <v>44118.040000000037</v>
      </c>
    </row>
    <row r="101" spans="1:7" x14ac:dyDescent="0.25">
      <c r="A101" s="75" t="s">
        <v>302</v>
      </c>
      <c r="B101" s="136">
        <v>542040</v>
      </c>
      <c r="C101" s="136">
        <v>-508040</v>
      </c>
      <c r="D101" s="150">
        <f t="shared" si="33"/>
        <v>34000</v>
      </c>
      <c r="E101" s="136">
        <v>27840</v>
      </c>
      <c r="F101" s="136">
        <v>27840</v>
      </c>
      <c r="G101" s="136">
        <f t="shared" si="34"/>
        <v>6160</v>
      </c>
    </row>
    <row r="102" spans="1:7" x14ac:dyDescent="0.25">
      <c r="A102" s="75" t="s">
        <v>303</v>
      </c>
      <c r="B102" s="136">
        <v>2544493.25</v>
      </c>
      <c r="C102" s="136">
        <v>-531368.99</v>
      </c>
      <c r="D102" s="150">
        <f t="shared" si="33"/>
        <v>2013124.26</v>
      </c>
      <c r="E102" s="136">
        <v>1840795.54</v>
      </c>
      <c r="F102" s="136">
        <v>1769243.48</v>
      </c>
      <c r="G102" s="136">
        <f t="shared" si="34"/>
        <v>172328.71999999997</v>
      </c>
    </row>
    <row r="103" spans="1:7" x14ac:dyDescent="0.25">
      <c r="A103" s="74" t="s">
        <v>304</v>
      </c>
      <c r="B103" s="151">
        <f t="shared" ref="B103:G103" si="35">SUM(B104:B112)</f>
        <v>17999509.379999999</v>
      </c>
      <c r="C103" s="151">
        <f t="shared" si="35"/>
        <v>5808006.4299999997</v>
      </c>
      <c r="D103" s="151">
        <f t="shared" si="35"/>
        <v>23807515.809999999</v>
      </c>
      <c r="E103" s="151">
        <f t="shared" si="35"/>
        <v>22855451.009999998</v>
      </c>
      <c r="F103" s="151">
        <f t="shared" si="35"/>
        <v>15906292.75</v>
      </c>
      <c r="G103" s="151">
        <f t="shared" si="35"/>
        <v>952064.79999999981</v>
      </c>
    </row>
    <row r="104" spans="1:7" x14ac:dyDescent="0.25">
      <c r="A104" s="75" t="s">
        <v>305</v>
      </c>
      <c r="B104" s="136">
        <v>916900</v>
      </c>
      <c r="C104" s="136">
        <v>-909700</v>
      </c>
      <c r="D104" s="150">
        <f t="shared" ref="D104:D112" si="36">B104+C104</f>
        <v>7200</v>
      </c>
      <c r="E104" s="136">
        <v>1800</v>
      </c>
      <c r="F104" s="136">
        <v>400</v>
      </c>
      <c r="G104" s="136">
        <f t="shared" ref="G104:G112" si="37">D104-E104</f>
        <v>5400</v>
      </c>
    </row>
    <row r="105" spans="1:7" x14ac:dyDescent="0.25">
      <c r="A105" s="75" t="s">
        <v>306</v>
      </c>
      <c r="B105" s="136">
        <v>0</v>
      </c>
      <c r="C105" s="136">
        <v>27367.52</v>
      </c>
      <c r="D105" s="150">
        <f t="shared" si="36"/>
        <v>27367.52</v>
      </c>
      <c r="E105" s="136">
        <v>24607.52</v>
      </c>
      <c r="F105" s="136">
        <v>24607.52</v>
      </c>
      <c r="G105" s="136">
        <f t="shared" si="37"/>
        <v>2760</v>
      </c>
    </row>
    <row r="106" spans="1:7" x14ac:dyDescent="0.25">
      <c r="A106" s="75" t="s">
        <v>307</v>
      </c>
      <c r="B106" s="136">
        <v>4555783.7</v>
      </c>
      <c r="C106" s="136">
        <v>-3711934.2</v>
      </c>
      <c r="D106" s="150">
        <f t="shared" si="36"/>
        <v>843849.5</v>
      </c>
      <c r="E106" s="136">
        <v>216362</v>
      </c>
      <c r="F106" s="136">
        <v>102362</v>
      </c>
      <c r="G106" s="136">
        <f t="shared" si="37"/>
        <v>627487.5</v>
      </c>
    </row>
    <row r="107" spans="1:7" x14ac:dyDescent="0.25">
      <c r="A107" s="75" t="s">
        <v>308</v>
      </c>
      <c r="B107" s="136">
        <v>352263.91</v>
      </c>
      <c r="C107" s="136">
        <v>102016</v>
      </c>
      <c r="D107" s="150">
        <f t="shared" si="36"/>
        <v>454279.91</v>
      </c>
      <c r="E107" s="136">
        <v>392979.7</v>
      </c>
      <c r="F107" s="136">
        <v>297555.65999999997</v>
      </c>
      <c r="G107" s="136">
        <f t="shared" si="37"/>
        <v>61300.209999999963</v>
      </c>
    </row>
    <row r="108" spans="1:7" x14ac:dyDescent="0.25">
      <c r="A108" s="75" t="s">
        <v>309</v>
      </c>
      <c r="B108" s="136">
        <v>1268366</v>
      </c>
      <c r="C108" s="136">
        <v>213780.31</v>
      </c>
      <c r="D108" s="150">
        <f t="shared" si="36"/>
        <v>1482146.31</v>
      </c>
      <c r="E108" s="136">
        <v>1440994.97</v>
      </c>
      <c r="F108" s="136">
        <v>1371059.16</v>
      </c>
      <c r="G108" s="136">
        <f t="shared" si="37"/>
        <v>41151.340000000084</v>
      </c>
    </row>
    <row r="109" spans="1:7" x14ac:dyDescent="0.25">
      <c r="A109" s="75" t="s">
        <v>310</v>
      </c>
      <c r="B109" s="136">
        <v>0</v>
      </c>
      <c r="C109" s="136">
        <v>0</v>
      </c>
      <c r="D109" s="150">
        <f t="shared" si="36"/>
        <v>0</v>
      </c>
      <c r="E109" s="136">
        <v>0</v>
      </c>
      <c r="F109" s="136">
        <v>0</v>
      </c>
      <c r="G109" s="136">
        <f t="shared" si="37"/>
        <v>0</v>
      </c>
    </row>
    <row r="110" spans="1:7" x14ac:dyDescent="0.25">
      <c r="A110" s="75" t="s">
        <v>311</v>
      </c>
      <c r="B110" s="136">
        <v>40000</v>
      </c>
      <c r="C110" s="136">
        <v>-12867.7</v>
      </c>
      <c r="D110" s="150">
        <f t="shared" si="36"/>
        <v>27132.3</v>
      </c>
      <c r="E110" s="136">
        <v>8544.81</v>
      </c>
      <c r="F110" s="136">
        <v>7890.81</v>
      </c>
      <c r="G110" s="136">
        <f t="shared" si="37"/>
        <v>18587.489999999998</v>
      </c>
    </row>
    <row r="111" spans="1:7" x14ac:dyDescent="0.25">
      <c r="A111" s="75" t="s">
        <v>312</v>
      </c>
      <c r="B111" s="136">
        <v>11403</v>
      </c>
      <c r="C111" s="136">
        <v>4988597</v>
      </c>
      <c r="D111" s="150">
        <f t="shared" si="36"/>
        <v>5000000</v>
      </c>
      <c r="E111" s="136">
        <v>5000000</v>
      </c>
      <c r="F111" s="136">
        <v>0</v>
      </c>
      <c r="G111" s="136">
        <f t="shared" si="37"/>
        <v>0</v>
      </c>
    </row>
    <row r="112" spans="1:7" x14ac:dyDescent="0.25">
      <c r="A112" s="75" t="s">
        <v>313</v>
      </c>
      <c r="B112" s="136">
        <v>10854792.77</v>
      </c>
      <c r="C112" s="136">
        <v>5110747.5</v>
      </c>
      <c r="D112" s="150">
        <f t="shared" si="36"/>
        <v>15965540.27</v>
      </c>
      <c r="E112" s="136">
        <v>15770162.01</v>
      </c>
      <c r="F112" s="136">
        <v>14102417.6</v>
      </c>
      <c r="G112" s="136">
        <f t="shared" si="37"/>
        <v>195378.25999999978</v>
      </c>
    </row>
    <row r="113" spans="1:7" x14ac:dyDescent="0.25">
      <c r="A113" s="74" t="s">
        <v>314</v>
      </c>
      <c r="B113" s="151">
        <f t="shared" ref="B113:G113" si="38">SUM(B114:B122)</f>
        <v>1278968.1000000001</v>
      </c>
      <c r="C113" s="151">
        <f t="shared" si="38"/>
        <v>1884531.9</v>
      </c>
      <c r="D113" s="151">
        <f t="shared" si="38"/>
        <v>3163500</v>
      </c>
      <c r="E113" s="151">
        <f t="shared" si="38"/>
        <v>2813500</v>
      </c>
      <c r="F113" s="151">
        <f t="shared" si="38"/>
        <v>2600000</v>
      </c>
      <c r="G113" s="151">
        <f t="shared" si="38"/>
        <v>350000</v>
      </c>
    </row>
    <row r="114" spans="1:7" x14ac:dyDescent="0.25">
      <c r="A114" s="75" t="s">
        <v>315</v>
      </c>
      <c r="B114" s="136">
        <v>0</v>
      </c>
      <c r="C114" s="136">
        <v>0</v>
      </c>
      <c r="D114" s="150">
        <f t="shared" ref="D114:D122" si="39">B114+C114</f>
        <v>0</v>
      </c>
      <c r="E114" s="136">
        <v>0</v>
      </c>
      <c r="F114" s="136">
        <v>0</v>
      </c>
      <c r="G114" s="136">
        <f t="shared" ref="G114:G122" si="40">D114-E114</f>
        <v>0</v>
      </c>
    </row>
    <row r="115" spans="1:7" x14ac:dyDescent="0.25">
      <c r="A115" s="75" t="s">
        <v>316</v>
      </c>
      <c r="B115" s="136">
        <v>0</v>
      </c>
      <c r="C115" s="136">
        <v>0</v>
      </c>
      <c r="D115" s="150">
        <f t="shared" si="39"/>
        <v>0</v>
      </c>
      <c r="E115" s="136">
        <v>0</v>
      </c>
      <c r="F115" s="136">
        <v>0</v>
      </c>
      <c r="G115" s="136">
        <f t="shared" si="40"/>
        <v>0</v>
      </c>
    </row>
    <row r="116" spans="1:7" x14ac:dyDescent="0.25">
      <c r="A116" s="75" t="s">
        <v>317</v>
      </c>
      <c r="B116" s="136">
        <v>1092968.1000000001</v>
      </c>
      <c r="C116" s="136">
        <v>2070531.9</v>
      </c>
      <c r="D116" s="150">
        <f t="shared" si="39"/>
        <v>3163500</v>
      </c>
      <c r="E116" s="136">
        <v>2813500</v>
      </c>
      <c r="F116" s="136">
        <v>2600000</v>
      </c>
      <c r="G116" s="136">
        <f t="shared" si="40"/>
        <v>350000</v>
      </c>
    </row>
    <row r="117" spans="1:7" x14ac:dyDescent="0.25">
      <c r="A117" s="75" t="s">
        <v>318</v>
      </c>
      <c r="B117" s="136">
        <v>186000</v>
      </c>
      <c r="C117" s="136">
        <v>-186000</v>
      </c>
      <c r="D117" s="150">
        <f t="shared" si="39"/>
        <v>0</v>
      </c>
      <c r="E117" s="136">
        <v>0</v>
      </c>
      <c r="F117" s="136">
        <v>0</v>
      </c>
      <c r="G117" s="136">
        <f t="shared" si="40"/>
        <v>0</v>
      </c>
    </row>
    <row r="118" spans="1:7" x14ac:dyDescent="0.25">
      <c r="A118" s="75" t="s">
        <v>319</v>
      </c>
      <c r="B118" s="136">
        <v>0</v>
      </c>
      <c r="C118" s="136">
        <v>0</v>
      </c>
      <c r="D118" s="150">
        <f t="shared" si="39"/>
        <v>0</v>
      </c>
      <c r="E118" s="136">
        <v>0</v>
      </c>
      <c r="F118" s="136">
        <v>0</v>
      </c>
      <c r="G118" s="136">
        <f t="shared" si="40"/>
        <v>0</v>
      </c>
    </row>
    <row r="119" spans="1:7" x14ac:dyDescent="0.25">
      <c r="A119" s="75" t="s">
        <v>320</v>
      </c>
      <c r="B119" s="136">
        <v>0</v>
      </c>
      <c r="C119" s="136">
        <v>0</v>
      </c>
      <c r="D119" s="150">
        <f t="shared" si="39"/>
        <v>0</v>
      </c>
      <c r="E119" s="136">
        <v>0</v>
      </c>
      <c r="F119" s="136">
        <v>0</v>
      </c>
      <c r="G119" s="136">
        <f t="shared" si="40"/>
        <v>0</v>
      </c>
    </row>
    <row r="120" spans="1:7" x14ac:dyDescent="0.25">
      <c r="A120" s="75" t="s">
        <v>321</v>
      </c>
      <c r="B120" s="136">
        <v>0</v>
      </c>
      <c r="C120" s="136">
        <v>0</v>
      </c>
      <c r="D120" s="150">
        <f t="shared" si="39"/>
        <v>0</v>
      </c>
      <c r="E120" s="136">
        <v>0</v>
      </c>
      <c r="F120" s="136">
        <v>0</v>
      </c>
      <c r="G120" s="136">
        <f t="shared" si="40"/>
        <v>0</v>
      </c>
    </row>
    <row r="121" spans="1:7" x14ac:dyDescent="0.25">
      <c r="A121" s="75" t="s">
        <v>322</v>
      </c>
      <c r="B121" s="136">
        <v>0</v>
      </c>
      <c r="C121" s="136">
        <v>0</v>
      </c>
      <c r="D121" s="150">
        <f t="shared" si="39"/>
        <v>0</v>
      </c>
      <c r="E121" s="136">
        <v>0</v>
      </c>
      <c r="F121" s="136">
        <v>0</v>
      </c>
      <c r="G121" s="136">
        <f t="shared" si="40"/>
        <v>0</v>
      </c>
    </row>
    <row r="122" spans="1:7" x14ac:dyDescent="0.25">
      <c r="A122" s="75" t="s">
        <v>323</v>
      </c>
      <c r="B122" s="136">
        <v>0</v>
      </c>
      <c r="C122" s="136">
        <v>0</v>
      </c>
      <c r="D122" s="150">
        <f t="shared" si="39"/>
        <v>0</v>
      </c>
      <c r="E122" s="136">
        <v>0</v>
      </c>
      <c r="F122" s="136">
        <v>0</v>
      </c>
      <c r="G122" s="136">
        <f t="shared" si="40"/>
        <v>0</v>
      </c>
    </row>
    <row r="123" spans="1:7" x14ac:dyDescent="0.25">
      <c r="A123" s="74" t="s">
        <v>324</v>
      </c>
      <c r="B123" s="151">
        <f t="shared" ref="B123:G123" si="41">SUM(B124:B132)</f>
        <v>3992782.3</v>
      </c>
      <c r="C123" s="151">
        <f t="shared" si="41"/>
        <v>5668780.75</v>
      </c>
      <c r="D123" s="151">
        <f t="shared" si="41"/>
        <v>9661563.0500000007</v>
      </c>
      <c r="E123" s="151">
        <f t="shared" si="41"/>
        <v>9147415.4500000011</v>
      </c>
      <c r="F123" s="151">
        <f t="shared" si="41"/>
        <v>3106020.74</v>
      </c>
      <c r="G123" s="151">
        <f t="shared" si="41"/>
        <v>514147.59999999957</v>
      </c>
    </row>
    <row r="124" spans="1:7" x14ac:dyDescent="0.25">
      <c r="A124" s="75" t="s">
        <v>325</v>
      </c>
      <c r="B124" s="136">
        <v>1241801.2</v>
      </c>
      <c r="C124" s="136">
        <v>-465561.15</v>
      </c>
      <c r="D124" s="150">
        <f t="shared" ref="D124:D132" si="42">B124+C124</f>
        <v>776240.04999999993</v>
      </c>
      <c r="E124" s="136">
        <v>738694.28</v>
      </c>
      <c r="F124" s="136">
        <v>701098.14</v>
      </c>
      <c r="G124" s="136">
        <f t="shared" ref="G124:G132" si="43">D124-E124</f>
        <v>37545.769999999902</v>
      </c>
    </row>
    <row r="125" spans="1:7" x14ac:dyDescent="0.25">
      <c r="A125" s="75" t="s">
        <v>326</v>
      </c>
      <c r="B125" s="136">
        <v>186299.1</v>
      </c>
      <c r="C125" s="136">
        <v>257982.9</v>
      </c>
      <c r="D125" s="150">
        <f t="shared" si="42"/>
        <v>444282</v>
      </c>
      <c r="E125" s="136">
        <v>6900</v>
      </c>
      <c r="F125" s="136">
        <v>6900</v>
      </c>
      <c r="G125" s="136">
        <f t="shared" si="43"/>
        <v>437382</v>
      </c>
    </row>
    <row r="126" spans="1:7" x14ac:dyDescent="0.25">
      <c r="A126" s="75" t="s">
        <v>327</v>
      </c>
      <c r="B126" s="136">
        <v>0</v>
      </c>
      <c r="C126" s="136">
        <v>0</v>
      </c>
      <c r="D126" s="150">
        <f t="shared" si="42"/>
        <v>0</v>
      </c>
      <c r="E126" s="136">
        <v>0</v>
      </c>
      <c r="F126" s="136">
        <v>0</v>
      </c>
      <c r="G126" s="136">
        <f t="shared" si="43"/>
        <v>0</v>
      </c>
    </row>
    <row r="127" spans="1:7" x14ac:dyDescent="0.25">
      <c r="A127" s="75" t="s">
        <v>328</v>
      </c>
      <c r="B127" s="136">
        <v>2320000</v>
      </c>
      <c r="C127" s="136">
        <v>5779980</v>
      </c>
      <c r="D127" s="150">
        <f t="shared" si="42"/>
        <v>8099980</v>
      </c>
      <c r="E127" s="136">
        <v>8088233.6100000003</v>
      </c>
      <c r="F127" s="136">
        <v>2296733.6</v>
      </c>
      <c r="G127" s="136">
        <f t="shared" si="43"/>
        <v>11746.389999999665</v>
      </c>
    </row>
    <row r="128" spans="1:7" x14ac:dyDescent="0.25">
      <c r="A128" s="75" t="s">
        <v>329</v>
      </c>
      <c r="B128" s="136">
        <v>0</v>
      </c>
      <c r="C128" s="136">
        <v>0</v>
      </c>
      <c r="D128" s="150">
        <f t="shared" si="42"/>
        <v>0</v>
      </c>
      <c r="E128" s="136">
        <v>0</v>
      </c>
      <c r="F128" s="136">
        <v>0</v>
      </c>
      <c r="G128" s="136">
        <f t="shared" si="43"/>
        <v>0</v>
      </c>
    </row>
    <row r="129" spans="1:7" x14ac:dyDescent="0.25">
      <c r="A129" s="75" t="s">
        <v>330</v>
      </c>
      <c r="B129" s="136">
        <v>134250</v>
      </c>
      <c r="C129" s="136">
        <v>151595</v>
      </c>
      <c r="D129" s="150">
        <f t="shared" si="42"/>
        <v>285845</v>
      </c>
      <c r="E129" s="136">
        <v>258371.56</v>
      </c>
      <c r="F129" s="136">
        <v>46073</v>
      </c>
      <c r="G129" s="136">
        <f t="shared" si="43"/>
        <v>27473.440000000002</v>
      </c>
    </row>
    <row r="130" spans="1:7" x14ac:dyDescent="0.25">
      <c r="A130" s="75" t="s">
        <v>331</v>
      </c>
      <c r="B130" s="136">
        <v>0</v>
      </c>
      <c r="C130" s="136">
        <v>0</v>
      </c>
      <c r="D130" s="150">
        <f t="shared" si="42"/>
        <v>0</v>
      </c>
      <c r="E130" s="136">
        <v>0</v>
      </c>
      <c r="F130" s="136">
        <v>0</v>
      </c>
      <c r="G130" s="136">
        <f t="shared" si="43"/>
        <v>0</v>
      </c>
    </row>
    <row r="131" spans="1:7" x14ac:dyDescent="0.25">
      <c r="A131" s="75" t="s">
        <v>332</v>
      </c>
      <c r="B131" s="136">
        <v>0</v>
      </c>
      <c r="C131" s="136">
        <v>0</v>
      </c>
      <c r="D131" s="150">
        <f t="shared" si="42"/>
        <v>0</v>
      </c>
      <c r="E131" s="136">
        <v>0</v>
      </c>
      <c r="F131" s="136">
        <v>0</v>
      </c>
      <c r="G131" s="136">
        <f t="shared" si="43"/>
        <v>0</v>
      </c>
    </row>
    <row r="132" spans="1:7" x14ac:dyDescent="0.25">
      <c r="A132" s="75" t="s">
        <v>333</v>
      </c>
      <c r="B132" s="136">
        <v>110432</v>
      </c>
      <c r="C132" s="136">
        <v>-55216</v>
      </c>
      <c r="D132" s="150">
        <f t="shared" si="42"/>
        <v>55216</v>
      </c>
      <c r="E132" s="136">
        <v>55216</v>
      </c>
      <c r="F132" s="136">
        <v>55216</v>
      </c>
      <c r="G132" s="136">
        <f t="shared" si="43"/>
        <v>0</v>
      </c>
    </row>
    <row r="133" spans="1:7" x14ac:dyDescent="0.25">
      <c r="A133" s="74" t="s">
        <v>334</v>
      </c>
      <c r="B133" s="151">
        <f t="shared" ref="B133:G133" si="44">SUM(B134:B136)</f>
        <v>343402320.30000001</v>
      </c>
      <c r="C133" s="151">
        <f t="shared" si="44"/>
        <v>-64299286.659999996</v>
      </c>
      <c r="D133" s="151">
        <f t="shared" si="44"/>
        <v>279103033.63999999</v>
      </c>
      <c r="E133" s="151">
        <f t="shared" si="44"/>
        <v>81950153.140000001</v>
      </c>
      <c r="F133" s="151">
        <f t="shared" si="44"/>
        <v>70973700.399999991</v>
      </c>
      <c r="G133" s="151">
        <f t="shared" si="44"/>
        <v>197152880.5</v>
      </c>
    </row>
    <row r="134" spans="1:7" x14ac:dyDescent="0.25">
      <c r="A134" s="75" t="s">
        <v>335</v>
      </c>
      <c r="B134" s="136">
        <v>342511032.44</v>
      </c>
      <c r="C134" s="136">
        <v>-63705367.759999998</v>
      </c>
      <c r="D134" s="150">
        <f t="shared" ref="D134:D136" si="45">B134+C134</f>
        <v>278805664.68000001</v>
      </c>
      <c r="E134" s="136">
        <v>81652784.180000007</v>
      </c>
      <c r="F134" s="136">
        <v>70928807.439999998</v>
      </c>
      <c r="G134" s="136">
        <f t="shared" ref="G134:G136" si="46">D134-E134</f>
        <v>197152880.5</v>
      </c>
    </row>
    <row r="135" spans="1:7" x14ac:dyDescent="0.25">
      <c r="A135" s="75" t="s">
        <v>336</v>
      </c>
      <c r="B135" s="136">
        <v>0</v>
      </c>
      <c r="C135" s="136">
        <v>0</v>
      </c>
      <c r="D135" s="150">
        <f t="shared" si="45"/>
        <v>0</v>
      </c>
      <c r="E135" s="136">
        <v>0</v>
      </c>
      <c r="F135" s="136">
        <v>0</v>
      </c>
      <c r="G135" s="136">
        <f t="shared" si="46"/>
        <v>0</v>
      </c>
    </row>
    <row r="136" spans="1:7" x14ac:dyDescent="0.25">
      <c r="A136" s="75" t="s">
        <v>337</v>
      </c>
      <c r="B136" s="136">
        <v>891287.86</v>
      </c>
      <c r="C136" s="136">
        <v>-593918.9</v>
      </c>
      <c r="D136" s="150">
        <f t="shared" si="45"/>
        <v>297368.95999999996</v>
      </c>
      <c r="E136" s="136">
        <v>297368.96000000002</v>
      </c>
      <c r="F136" s="136">
        <v>44892.959999999999</v>
      </c>
      <c r="G136" s="136">
        <f t="shared" si="46"/>
        <v>0</v>
      </c>
    </row>
    <row r="137" spans="1:7" x14ac:dyDescent="0.25">
      <c r="A137" s="74" t="s">
        <v>338</v>
      </c>
      <c r="B137" s="151">
        <f>SUM(B138:B145)</f>
        <v>0</v>
      </c>
      <c r="C137" s="151">
        <f t="shared" ref="C137:G137" si="47">SUM(C138:C145)</f>
        <v>0</v>
      </c>
      <c r="D137" s="151">
        <f t="shared" si="47"/>
        <v>0</v>
      </c>
      <c r="E137" s="151">
        <f t="shared" si="47"/>
        <v>0</v>
      </c>
      <c r="F137" s="151">
        <f t="shared" si="47"/>
        <v>0</v>
      </c>
      <c r="G137" s="151">
        <f t="shared" si="47"/>
        <v>0</v>
      </c>
    </row>
    <row r="138" spans="1:7" x14ac:dyDescent="0.25">
      <c r="A138" s="75" t="s">
        <v>339</v>
      </c>
      <c r="B138" s="136">
        <v>0</v>
      </c>
      <c r="C138" s="136">
        <v>0</v>
      </c>
      <c r="D138" s="150">
        <f t="shared" ref="D138:D145" si="48">B138+C138</f>
        <v>0</v>
      </c>
      <c r="E138" s="136">
        <v>0</v>
      </c>
      <c r="F138" s="136">
        <v>0</v>
      </c>
      <c r="G138" s="136">
        <f t="shared" ref="G138:G145" si="49">D138-E138</f>
        <v>0</v>
      </c>
    </row>
    <row r="139" spans="1:7" x14ac:dyDescent="0.25">
      <c r="A139" s="75" t="s">
        <v>340</v>
      </c>
      <c r="B139" s="136">
        <v>0</v>
      </c>
      <c r="C139" s="136">
        <v>0</v>
      </c>
      <c r="D139" s="150">
        <f t="shared" si="48"/>
        <v>0</v>
      </c>
      <c r="E139" s="136">
        <v>0</v>
      </c>
      <c r="F139" s="136">
        <v>0</v>
      </c>
      <c r="G139" s="136">
        <f t="shared" si="49"/>
        <v>0</v>
      </c>
    </row>
    <row r="140" spans="1:7" x14ac:dyDescent="0.25">
      <c r="A140" s="75" t="s">
        <v>341</v>
      </c>
      <c r="B140" s="136">
        <v>0</v>
      </c>
      <c r="C140" s="136">
        <v>0</v>
      </c>
      <c r="D140" s="150">
        <f t="shared" si="48"/>
        <v>0</v>
      </c>
      <c r="E140" s="136">
        <v>0</v>
      </c>
      <c r="F140" s="136">
        <v>0</v>
      </c>
      <c r="G140" s="136">
        <f t="shared" si="49"/>
        <v>0</v>
      </c>
    </row>
    <row r="141" spans="1:7" x14ac:dyDescent="0.25">
      <c r="A141" s="75" t="s">
        <v>342</v>
      </c>
      <c r="B141" s="136">
        <v>0</v>
      </c>
      <c r="C141" s="136">
        <v>0</v>
      </c>
      <c r="D141" s="150">
        <f t="shared" si="48"/>
        <v>0</v>
      </c>
      <c r="E141" s="136">
        <v>0</v>
      </c>
      <c r="F141" s="136">
        <v>0</v>
      </c>
      <c r="G141" s="136">
        <f t="shared" si="49"/>
        <v>0</v>
      </c>
    </row>
    <row r="142" spans="1:7" x14ac:dyDescent="0.25">
      <c r="A142" s="75" t="s">
        <v>343</v>
      </c>
      <c r="B142" s="136">
        <v>0</v>
      </c>
      <c r="C142" s="136">
        <v>0</v>
      </c>
      <c r="D142" s="150">
        <f t="shared" si="48"/>
        <v>0</v>
      </c>
      <c r="E142" s="136">
        <v>0</v>
      </c>
      <c r="F142" s="136">
        <v>0</v>
      </c>
      <c r="G142" s="136">
        <f t="shared" si="49"/>
        <v>0</v>
      </c>
    </row>
    <row r="143" spans="1:7" x14ac:dyDescent="0.25">
      <c r="A143" s="75" t="s">
        <v>3293</v>
      </c>
      <c r="B143" s="136">
        <v>0</v>
      </c>
      <c r="C143" s="136">
        <v>0</v>
      </c>
      <c r="D143" s="150">
        <f t="shared" si="48"/>
        <v>0</v>
      </c>
      <c r="E143" s="136">
        <v>0</v>
      </c>
      <c r="F143" s="136">
        <v>0</v>
      </c>
      <c r="G143" s="136">
        <f t="shared" si="49"/>
        <v>0</v>
      </c>
    </row>
    <row r="144" spans="1:7" x14ac:dyDescent="0.25">
      <c r="A144" s="75" t="s">
        <v>345</v>
      </c>
      <c r="B144" s="136">
        <v>0</v>
      </c>
      <c r="C144" s="136">
        <v>0</v>
      </c>
      <c r="D144" s="150">
        <f t="shared" si="48"/>
        <v>0</v>
      </c>
      <c r="E144" s="136">
        <v>0</v>
      </c>
      <c r="F144" s="136">
        <v>0</v>
      </c>
      <c r="G144" s="136">
        <f t="shared" si="49"/>
        <v>0</v>
      </c>
    </row>
    <row r="145" spans="1:7" x14ac:dyDescent="0.25">
      <c r="A145" s="75" t="s">
        <v>346</v>
      </c>
      <c r="B145" s="136">
        <v>0</v>
      </c>
      <c r="C145" s="136">
        <v>0</v>
      </c>
      <c r="D145" s="150">
        <f t="shared" si="48"/>
        <v>0</v>
      </c>
      <c r="E145" s="136">
        <v>0</v>
      </c>
      <c r="F145" s="136">
        <v>0</v>
      </c>
      <c r="G145" s="136">
        <f t="shared" si="49"/>
        <v>0</v>
      </c>
    </row>
    <row r="146" spans="1:7" x14ac:dyDescent="0.25">
      <c r="A146" s="74" t="s">
        <v>347</v>
      </c>
      <c r="B146" s="151">
        <f>SUM(B147:B149)</f>
        <v>0</v>
      </c>
      <c r="C146" s="151">
        <f t="shared" ref="C146:G146" si="50">SUM(C147:C149)</f>
        <v>0</v>
      </c>
      <c r="D146" s="151">
        <f t="shared" si="50"/>
        <v>0</v>
      </c>
      <c r="E146" s="151">
        <f t="shared" si="50"/>
        <v>0</v>
      </c>
      <c r="F146" s="151">
        <f t="shared" si="50"/>
        <v>0</v>
      </c>
      <c r="G146" s="151">
        <f t="shared" si="50"/>
        <v>0</v>
      </c>
    </row>
    <row r="147" spans="1:7" x14ac:dyDescent="0.25">
      <c r="A147" s="75" t="s">
        <v>348</v>
      </c>
      <c r="B147" s="136">
        <v>0</v>
      </c>
      <c r="C147" s="136">
        <v>0</v>
      </c>
      <c r="D147" s="150">
        <f t="shared" ref="D147:D149" si="51">B147+C147</f>
        <v>0</v>
      </c>
      <c r="E147" s="136">
        <v>0</v>
      </c>
      <c r="F147" s="136">
        <v>0</v>
      </c>
      <c r="G147" s="136">
        <f t="shared" ref="G147:G149" si="52">D147-E147</f>
        <v>0</v>
      </c>
    </row>
    <row r="148" spans="1:7" x14ac:dyDescent="0.25">
      <c r="A148" s="75" t="s">
        <v>349</v>
      </c>
      <c r="B148" s="136">
        <v>0</v>
      </c>
      <c r="C148" s="136">
        <v>0</v>
      </c>
      <c r="D148" s="150">
        <f t="shared" si="51"/>
        <v>0</v>
      </c>
      <c r="E148" s="136">
        <v>0</v>
      </c>
      <c r="F148" s="136">
        <v>0</v>
      </c>
      <c r="G148" s="136">
        <f t="shared" si="52"/>
        <v>0</v>
      </c>
    </row>
    <row r="149" spans="1:7" x14ac:dyDescent="0.25">
      <c r="A149" s="75" t="s">
        <v>350</v>
      </c>
      <c r="B149" s="136">
        <v>0</v>
      </c>
      <c r="C149" s="136">
        <v>0</v>
      </c>
      <c r="D149" s="150">
        <f t="shared" si="51"/>
        <v>0</v>
      </c>
      <c r="E149" s="136">
        <v>0</v>
      </c>
      <c r="F149" s="136">
        <v>0</v>
      </c>
      <c r="G149" s="136">
        <f t="shared" si="52"/>
        <v>0</v>
      </c>
    </row>
    <row r="150" spans="1:7" x14ac:dyDescent="0.25">
      <c r="A150" s="74" t="s">
        <v>351</v>
      </c>
      <c r="B150" s="151">
        <f>SUM(B151:B157)</f>
        <v>6793695.3300000001</v>
      </c>
      <c r="C150" s="151">
        <f>SUM(C151:C157)</f>
        <v>-3192299.09</v>
      </c>
      <c r="D150" s="151">
        <f>SUM(D151:D157)</f>
        <v>3601396.24</v>
      </c>
      <c r="E150" s="151">
        <f>SUM(E151:E157)</f>
        <v>3601396.2399999998</v>
      </c>
      <c r="F150" s="151">
        <f>SUM(F151:F157)</f>
        <v>3601396.2399999998</v>
      </c>
      <c r="G150" s="151">
        <f>G151</f>
        <v>0</v>
      </c>
    </row>
    <row r="151" spans="1:7" x14ac:dyDescent="0.25">
      <c r="A151" s="75" t="s">
        <v>352</v>
      </c>
      <c r="B151" s="136">
        <v>5791195.3300000001</v>
      </c>
      <c r="C151" s="136">
        <v>-2212499.89</v>
      </c>
      <c r="D151" s="150">
        <f t="shared" ref="D151:D157" si="53">B151+C151</f>
        <v>3578695.44</v>
      </c>
      <c r="E151" s="136">
        <v>3578695.44</v>
      </c>
      <c r="F151" s="136">
        <v>3578695.44</v>
      </c>
      <c r="G151" s="136">
        <v>0</v>
      </c>
    </row>
    <row r="152" spans="1:7" x14ac:dyDescent="0.25">
      <c r="A152" s="75" t="s">
        <v>353</v>
      </c>
      <c r="B152" s="136">
        <v>1002500</v>
      </c>
      <c r="C152" s="136">
        <v>-979799.2</v>
      </c>
      <c r="D152" s="150">
        <f t="shared" si="53"/>
        <v>22700.800000000047</v>
      </c>
      <c r="E152" s="136">
        <v>22700.799999999999</v>
      </c>
      <c r="F152" s="136">
        <v>22700.799999999999</v>
      </c>
      <c r="G152" s="136">
        <f t="shared" ref="G152:G157" si="54">D152-E152</f>
        <v>4.7293724492192268E-11</v>
      </c>
    </row>
    <row r="153" spans="1:7" x14ac:dyDescent="0.25">
      <c r="A153" s="75" t="s">
        <v>354</v>
      </c>
      <c r="B153" s="136">
        <v>0</v>
      </c>
      <c r="C153" s="136">
        <v>0</v>
      </c>
      <c r="D153" s="150">
        <f t="shared" si="53"/>
        <v>0</v>
      </c>
      <c r="E153" s="136">
        <v>0</v>
      </c>
      <c r="F153" s="136">
        <v>0</v>
      </c>
      <c r="G153" s="136">
        <f t="shared" si="54"/>
        <v>0</v>
      </c>
    </row>
    <row r="154" spans="1:7" x14ac:dyDescent="0.25">
      <c r="A154" s="40" t="s">
        <v>355</v>
      </c>
      <c r="B154" s="136">
        <v>0</v>
      </c>
      <c r="C154" s="136">
        <v>0</v>
      </c>
      <c r="D154" s="150">
        <f t="shared" si="53"/>
        <v>0</v>
      </c>
      <c r="E154" s="136">
        <v>0</v>
      </c>
      <c r="F154" s="136">
        <v>0</v>
      </c>
      <c r="G154" s="136">
        <f t="shared" si="54"/>
        <v>0</v>
      </c>
    </row>
    <row r="155" spans="1:7" x14ac:dyDescent="0.25">
      <c r="A155" s="75" t="s">
        <v>356</v>
      </c>
      <c r="B155" s="136">
        <v>0</v>
      </c>
      <c r="C155" s="136">
        <v>0</v>
      </c>
      <c r="D155" s="150">
        <f t="shared" si="53"/>
        <v>0</v>
      </c>
      <c r="E155" s="136">
        <v>0</v>
      </c>
      <c r="F155" s="136">
        <v>0</v>
      </c>
      <c r="G155" s="136">
        <f t="shared" si="54"/>
        <v>0</v>
      </c>
    </row>
    <row r="156" spans="1:7" x14ac:dyDescent="0.25">
      <c r="A156" s="75" t="s">
        <v>357</v>
      </c>
      <c r="B156" s="136">
        <v>0</v>
      </c>
      <c r="C156" s="136">
        <v>0</v>
      </c>
      <c r="D156" s="150">
        <f t="shared" si="53"/>
        <v>0</v>
      </c>
      <c r="E156" s="136">
        <v>0</v>
      </c>
      <c r="F156" s="136">
        <v>0</v>
      </c>
      <c r="G156" s="136">
        <f t="shared" si="54"/>
        <v>0</v>
      </c>
    </row>
    <row r="157" spans="1:7" x14ac:dyDescent="0.25">
      <c r="A157" s="75" t="s">
        <v>358</v>
      </c>
      <c r="B157" s="136">
        <v>0</v>
      </c>
      <c r="C157" s="136">
        <v>0</v>
      </c>
      <c r="D157" s="150">
        <f t="shared" si="53"/>
        <v>0</v>
      </c>
      <c r="E157" s="136">
        <v>0</v>
      </c>
      <c r="F157" s="136">
        <v>0</v>
      </c>
      <c r="G157" s="136">
        <f t="shared" si="54"/>
        <v>0</v>
      </c>
    </row>
    <row r="158" spans="1:7" x14ac:dyDescent="0.25">
      <c r="A158" s="41"/>
      <c r="B158" s="72"/>
      <c r="C158" s="72"/>
      <c r="D158" s="72"/>
      <c r="E158" s="72"/>
      <c r="F158" s="72"/>
      <c r="G158" s="72"/>
    </row>
    <row r="159" spans="1:7" x14ac:dyDescent="0.25">
      <c r="A159" s="42" t="s">
        <v>360</v>
      </c>
      <c r="B159" s="152">
        <f t="shared" ref="B159:G159" si="55">B9+B84</f>
        <v>622253800.18999994</v>
      </c>
      <c r="C159" s="152">
        <f t="shared" si="55"/>
        <v>-34115764.629999995</v>
      </c>
      <c r="D159" s="152">
        <f t="shared" si="55"/>
        <v>588138035.55999994</v>
      </c>
      <c r="E159" s="152">
        <f t="shared" si="55"/>
        <v>343445506.47000003</v>
      </c>
      <c r="F159" s="152">
        <f t="shared" si="55"/>
        <v>310697991.76000005</v>
      </c>
      <c r="G159" s="152">
        <f t="shared" si="55"/>
        <v>244692529.09</v>
      </c>
    </row>
    <row r="160" spans="1:7" x14ac:dyDescent="0.25">
      <c r="A160" s="63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183648966.06999999</v>
      </c>
      <c r="Q2" s="18">
        <f>'Formato 6 a)'!C9</f>
        <v>24274753.690000001</v>
      </c>
      <c r="R2" s="18">
        <f>'Formato 6 a)'!D9</f>
        <v>207923719.75999999</v>
      </c>
      <c r="S2" s="18">
        <f>'Formato 6 a)'!E9</f>
        <v>163729064.36000004</v>
      </c>
      <c r="T2" s="18">
        <f>'Formato 6 a)'!F9</f>
        <v>157032395.76000005</v>
      </c>
      <c r="U2" s="18">
        <f>'Formato 6 a)'!G9</f>
        <v>44194655.399999999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91522638.940000013</v>
      </c>
      <c r="Q3" s="18">
        <f>'Formato 6 a)'!C10</f>
        <v>1091933.94</v>
      </c>
      <c r="R3" s="18">
        <f>'Formato 6 a)'!D10</f>
        <v>92614572.88000001</v>
      </c>
      <c r="S3" s="18">
        <f>'Formato 6 a)'!E10</f>
        <v>89376635.75</v>
      </c>
      <c r="T3" s="18">
        <f>'Formato 6 a)'!F10</f>
        <v>88644040.300000012</v>
      </c>
      <c r="U3" s="18">
        <f>'Formato 6 a)'!G10</f>
        <v>3237937.1300000031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53088704.600000001</v>
      </c>
      <c r="Q4" s="18">
        <f>'Formato 6 a)'!C11</f>
        <v>645713</v>
      </c>
      <c r="R4" s="18">
        <f>'Formato 6 a)'!D11</f>
        <v>53734417.600000001</v>
      </c>
      <c r="S4" s="18">
        <f>'Formato 6 a)'!E11</f>
        <v>52796269.939999998</v>
      </c>
      <c r="T4" s="18">
        <f>'Formato 6 a)'!F11</f>
        <v>52796269.939999998</v>
      </c>
      <c r="U4" s="18">
        <f>'Formato 6 a)'!G11</f>
        <v>938147.66000000387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1332270.6499999999</v>
      </c>
      <c r="Q5" s="18">
        <f>'Formato 6 a)'!C12</f>
        <v>1628000</v>
      </c>
      <c r="R5" s="18">
        <f>'Formato 6 a)'!D12</f>
        <v>2960270.65</v>
      </c>
      <c r="S5" s="18">
        <f>'Formato 6 a)'!E12</f>
        <v>2609901.2000000002</v>
      </c>
      <c r="T5" s="18">
        <f>'Formato 6 a)'!F12</f>
        <v>2609901.2000000002</v>
      </c>
      <c r="U5" s="18">
        <f>'Formato 6 a)'!G12</f>
        <v>350369.44999999972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13197602</v>
      </c>
      <c r="Q6" s="18">
        <f>'Formato 6 a)'!C13</f>
        <v>-185616</v>
      </c>
      <c r="R6" s="18">
        <f>'Formato 6 a)'!D13</f>
        <v>13011986</v>
      </c>
      <c r="S6" s="18">
        <f>'Formato 6 a)'!E13</f>
        <v>12010195.390000001</v>
      </c>
      <c r="T6" s="18">
        <f>'Formato 6 a)'!F13</f>
        <v>12010195.390000001</v>
      </c>
      <c r="U6" s="18">
        <f>'Formato 6 a)'!G13</f>
        <v>1001790.6099999994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5288069.29</v>
      </c>
      <c r="Q7" s="18">
        <f>'Formato 6 a)'!C14</f>
        <v>-1300000</v>
      </c>
      <c r="R7" s="18">
        <f>'Formato 6 a)'!D14</f>
        <v>3988069.29</v>
      </c>
      <c r="S7" s="18">
        <f>'Formato 6 a)'!E14</f>
        <v>3772944.79</v>
      </c>
      <c r="T7" s="18">
        <f>'Formato 6 a)'!F14</f>
        <v>3453949.34</v>
      </c>
      <c r="U7" s="18">
        <f>'Formato 6 a)'!G14</f>
        <v>215124.5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12141878</v>
      </c>
      <c r="Q8" s="18">
        <f>'Formato 6 a)'!C15</f>
        <v>191268.94</v>
      </c>
      <c r="R8" s="18">
        <f>'Formato 6 a)'!D15</f>
        <v>12333146.939999999</v>
      </c>
      <c r="S8" s="18">
        <f>'Formato 6 a)'!E15</f>
        <v>11700162.93</v>
      </c>
      <c r="T8" s="18">
        <f>'Formato 6 a)'!F15</f>
        <v>11286562.93</v>
      </c>
      <c r="U8" s="18">
        <f>'Formato 6 a)'!G15</f>
        <v>632984.00999999978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6474114.4000000004</v>
      </c>
      <c r="Q10" s="18">
        <f>'Formato 6 a)'!C17</f>
        <v>112568</v>
      </c>
      <c r="R10" s="18">
        <f>'Formato 6 a)'!D17</f>
        <v>6586682.4000000004</v>
      </c>
      <c r="S10" s="18">
        <f>'Formato 6 a)'!E17</f>
        <v>6487161.5</v>
      </c>
      <c r="T10" s="18">
        <f>'Formato 6 a)'!F17</f>
        <v>6487161.5</v>
      </c>
      <c r="U10" s="18">
        <f>'Formato 6 a)'!G17</f>
        <v>99520.900000000373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10353951.079999998</v>
      </c>
      <c r="Q11" s="18">
        <f>'Formato 6 a)'!C18</f>
        <v>-1409275.46</v>
      </c>
      <c r="R11" s="18">
        <f>'Formato 6 a)'!D18</f>
        <v>8944675.6199999973</v>
      </c>
      <c r="S11" s="18">
        <f>'Formato 6 a)'!E18</f>
        <v>6026429.1800000006</v>
      </c>
      <c r="T11" s="18">
        <f>'Formato 6 a)'!F18</f>
        <v>5890377.3100000005</v>
      </c>
      <c r="U11" s="18">
        <f>'Formato 6 a)'!G18</f>
        <v>2918246.4399999995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2563873.71</v>
      </c>
      <c r="Q12" s="18">
        <f>'Formato 6 a)'!C19</f>
        <v>-268662.25</v>
      </c>
      <c r="R12" s="18">
        <f>'Formato 6 a)'!D19</f>
        <v>2295211.46</v>
      </c>
      <c r="S12" s="18">
        <f>'Formato 6 a)'!E19</f>
        <v>1846732.56</v>
      </c>
      <c r="T12" s="18">
        <f>'Formato 6 a)'!F19</f>
        <v>1846732.56</v>
      </c>
      <c r="U12" s="18">
        <f>'Formato 6 a)'!G19</f>
        <v>448478.89999999991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744962.75</v>
      </c>
      <c r="Q13" s="18">
        <f>'Formato 6 a)'!C20</f>
        <v>-144908.23000000001</v>
      </c>
      <c r="R13" s="18">
        <f>'Formato 6 a)'!D20</f>
        <v>600054.52</v>
      </c>
      <c r="S13" s="18">
        <f>'Formato 6 a)'!E20</f>
        <v>437052.56</v>
      </c>
      <c r="T13" s="18">
        <f>'Formato 6 a)'!F20</f>
        <v>437052.56</v>
      </c>
      <c r="U13" s="18">
        <f>'Formato 6 a)'!G20</f>
        <v>163001.96000000002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1000</v>
      </c>
      <c r="Q14" s="18">
        <f>'Formato 6 a)'!C21</f>
        <v>-900</v>
      </c>
      <c r="R14" s="18">
        <f>'Formato 6 a)'!D21</f>
        <v>100</v>
      </c>
      <c r="S14" s="18">
        <f>'Formato 6 a)'!E21</f>
        <v>0</v>
      </c>
      <c r="T14" s="18">
        <f>'Formato 6 a)'!F21</f>
        <v>0</v>
      </c>
      <c r="U14" s="18">
        <f>'Formato 6 a)'!G21</f>
        <v>100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2258146.96</v>
      </c>
      <c r="Q15" s="18">
        <f>'Formato 6 a)'!C22</f>
        <v>253842.51</v>
      </c>
      <c r="R15" s="18">
        <f>'Formato 6 a)'!D22</f>
        <v>2511989.4699999997</v>
      </c>
      <c r="S15" s="18">
        <f>'Formato 6 a)'!E22</f>
        <v>781569.02</v>
      </c>
      <c r="T15" s="18">
        <f>'Formato 6 a)'!F22</f>
        <v>707382.15</v>
      </c>
      <c r="U15" s="18">
        <f>'Formato 6 a)'!G22</f>
        <v>1730420.4499999997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623691.53</v>
      </c>
      <c r="Q16" s="18">
        <f>'Formato 6 a)'!C23</f>
        <v>-220648.89</v>
      </c>
      <c r="R16" s="18">
        <f>'Formato 6 a)'!D23</f>
        <v>403042.64</v>
      </c>
      <c r="S16" s="18">
        <f>'Formato 6 a)'!E23</f>
        <v>279173.96999999997</v>
      </c>
      <c r="T16" s="18">
        <f>'Formato 6 a)'!F23</f>
        <v>278715.96999999997</v>
      </c>
      <c r="U16" s="18">
        <f>'Formato 6 a)'!G23</f>
        <v>123868.67000000004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1785538</v>
      </c>
      <c r="Q17" s="18">
        <f>'Formato 6 a)'!C24</f>
        <v>-19324.52</v>
      </c>
      <c r="R17" s="18">
        <f>'Formato 6 a)'!D24</f>
        <v>1766213.48</v>
      </c>
      <c r="S17" s="18">
        <f>'Formato 6 a)'!E24</f>
        <v>1712911.19</v>
      </c>
      <c r="T17" s="18">
        <f>'Formato 6 a)'!F24</f>
        <v>1669861.18</v>
      </c>
      <c r="U17" s="18">
        <f>'Formato 6 a)'!G24</f>
        <v>53302.290000000037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1241649</v>
      </c>
      <c r="Q18" s="18">
        <f>'Formato 6 a)'!C25</f>
        <v>-634831.9</v>
      </c>
      <c r="R18" s="18">
        <f>'Formato 6 a)'!D25</f>
        <v>606817.1</v>
      </c>
      <c r="S18" s="18">
        <f>'Formato 6 a)'!E25</f>
        <v>545049.68999999994</v>
      </c>
      <c r="T18" s="18">
        <f>'Formato 6 a)'!F25</f>
        <v>541452.69999999995</v>
      </c>
      <c r="U18" s="18">
        <f>'Formato 6 a)'!G25</f>
        <v>61767.410000000033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1135089.1299999999</v>
      </c>
      <c r="Q20" s="18">
        <f>'Formato 6 a)'!C27</f>
        <v>-373842.18</v>
      </c>
      <c r="R20" s="18">
        <f>'Formato 6 a)'!D27</f>
        <v>761246.95</v>
      </c>
      <c r="S20" s="18">
        <f>'Formato 6 a)'!E27</f>
        <v>423940.19</v>
      </c>
      <c r="T20" s="18">
        <f>'Formato 6 a)'!F27</f>
        <v>409180.19</v>
      </c>
      <c r="U20" s="18">
        <f>'Formato 6 a)'!G27</f>
        <v>337306.75999999995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26398825.530000001</v>
      </c>
      <c r="Q21" s="18">
        <f>'Formato 6 a)'!C28</f>
        <v>3262827.5200000005</v>
      </c>
      <c r="R21" s="18">
        <f>'Formato 6 a)'!D28</f>
        <v>29661653.050000001</v>
      </c>
      <c r="S21" s="18">
        <f>'Formato 6 a)'!E28</f>
        <v>22731103.5</v>
      </c>
      <c r="T21" s="18">
        <f>'Formato 6 a)'!F28</f>
        <v>22598782.699999999</v>
      </c>
      <c r="U21" s="18">
        <f>'Formato 6 a)'!G28</f>
        <v>6930549.5499999998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8296505.9500000002</v>
      </c>
      <c r="Q22" s="18">
        <f>'Formato 6 a)'!C29</f>
        <v>4778512</v>
      </c>
      <c r="R22" s="18">
        <f>'Formato 6 a)'!D29</f>
        <v>13075017.949999999</v>
      </c>
      <c r="S22" s="18">
        <f>'Formato 6 a)'!E29</f>
        <v>12490465.41</v>
      </c>
      <c r="T22" s="18">
        <f>'Formato 6 a)'!F29</f>
        <v>12484666.41</v>
      </c>
      <c r="U22" s="18">
        <f>'Formato 6 a)'!G29</f>
        <v>584552.53999999911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274288</v>
      </c>
      <c r="Q23" s="18">
        <f>'Formato 6 a)'!C30</f>
        <v>105232.48</v>
      </c>
      <c r="R23" s="18">
        <f>'Formato 6 a)'!D30</f>
        <v>379520.48</v>
      </c>
      <c r="S23" s="18">
        <f>'Formato 6 a)'!E30</f>
        <v>376617.35</v>
      </c>
      <c r="T23" s="18">
        <f>'Formato 6 a)'!F30</f>
        <v>376617.35</v>
      </c>
      <c r="U23" s="18">
        <f>'Formato 6 a)'!G30</f>
        <v>2903.1300000000047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2366125</v>
      </c>
      <c r="Q24" s="18">
        <f>'Formato 6 a)'!C31</f>
        <v>1078856.8899999999</v>
      </c>
      <c r="R24" s="18">
        <f>'Formato 6 a)'!D31</f>
        <v>3444981.8899999997</v>
      </c>
      <c r="S24" s="18">
        <f>'Formato 6 a)'!E31</f>
        <v>2886671.8</v>
      </c>
      <c r="T24" s="18">
        <f>'Formato 6 a)'!F31</f>
        <v>2841671.8</v>
      </c>
      <c r="U24" s="18">
        <f>'Formato 6 a)'!G31</f>
        <v>558310.08999999985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119528.9</v>
      </c>
      <c r="Q25" s="18">
        <f>'Formato 6 a)'!C32</f>
        <v>144153</v>
      </c>
      <c r="R25" s="18">
        <f>'Formato 6 a)'!D32</f>
        <v>263681.90000000002</v>
      </c>
      <c r="S25" s="18">
        <f>'Formato 6 a)'!E32</f>
        <v>157374.85</v>
      </c>
      <c r="T25" s="18">
        <f>'Formato 6 a)'!F32</f>
        <v>157374.85</v>
      </c>
      <c r="U25" s="18">
        <f>'Formato 6 a)'!G32</f>
        <v>106307.05000000002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780812</v>
      </c>
      <c r="Q26" s="18">
        <f>'Formato 6 a)'!C33</f>
        <v>-439830.12</v>
      </c>
      <c r="R26" s="18">
        <f>'Formato 6 a)'!D33</f>
        <v>340981.88</v>
      </c>
      <c r="S26" s="18">
        <f>'Formato 6 a)'!E33</f>
        <v>182332.25</v>
      </c>
      <c r="T26" s="18">
        <f>'Formato 6 a)'!F33</f>
        <v>180119.45</v>
      </c>
      <c r="U26" s="18">
        <f>'Formato 6 a)'!G33</f>
        <v>158649.63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1489700</v>
      </c>
      <c r="Q27" s="18">
        <f>'Formato 6 a)'!C34</f>
        <v>403350</v>
      </c>
      <c r="R27" s="18">
        <f>'Formato 6 a)'!D34</f>
        <v>1893050</v>
      </c>
      <c r="S27" s="18">
        <f>'Formato 6 a)'!E34</f>
        <v>1701914.29</v>
      </c>
      <c r="T27" s="18">
        <f>'Formato 6 a)'!F34</f>
        <v>1701914.29</v>
      </c>
      <c r="U27" s="18">
        <f>'Formato 6 a)'!G34</f>
        <v>191135.70999999996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218178.9</v>
      </c>
      <c r="Q28" s="18">
        <f>'Formato 6 a)'!C35</f>
        <v>-80840.600000000006</v>
      </c>
      <c r="R28" s="18">
        <f>'Formato 6 a)'!D35</f>
        <v>137338.29999999999</v>
      </c>
      <c r="S28" s="18">
        <f>'Formato 6 a)'!E35</f>
        <v>83085.14</v>
      </c>
      <c r="T28" s="18">
        <f>'Formato 6 a)'!F35</f>
        <v>83085.14</v>
      </c>
      <c r="U28" s="18">
        <f>'Formato 6 a)'!G35</f>
        <v>54253.159999999989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1815897.88</v>
      </c>
      <c r="Q29" s="18">
        <f>'Formato 6 a)'!C36</f>
        <v>-142286.21</v>
      </c>
      <c r="R29" s="18">
        <f>'Formato 6 a)'!D36</f>
        <v>1673611.67</v>
      </c>
      <c r="S29" s="18">
        <f>'Formato 6 a)'!E36</f>
        <v>1630165.97</v>
      </c>
      <c r="T29" s="18">
        <f>'Formato 6 a)'!F36</f>
        <v>1630165.97</v>
      </c>
      <c r="U29" s="18">
        <f>'Formato 6 a)'!G36</f>
        <v>43445.699999999953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11037788.9</v>
      </c>
      <c r="Q30" s="18">
        <f>'Formato 6 a)'!C37</f>
        <v>-2584319.92</v>
      </c>
      <c r="R30" s="18">
        <f>'Formato 6 a)'!D37</f>
        <v>8453468.9800000004</v>
      </c>
      <c r="S30" s="18">
        <f>'Formato 6 a)'!E37</f>
        <v>3222476.44</v>
      </c>
      <c r="T30" s="18">
        <f>'Formato 6 a)'!F37</f>
        <v>3143167.44</v>
      </c>
      <c r="U30" s="18">
        <f>'Formato 6 a)'!G37</f>
        <v>5230992.540000001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26518464.649999999</v>
      </c>
      <c r="Q31" s="18">
        <f>'Formato 6 a)'!C38</f>
        <v>4761302.05</v>
      </c>
      <c r="R31" s="18">
        <f>'Formato 6 a)'!D38</f>
        <v>31279766.700000003</v>
      </c>
      <c r="S31" s="18">
        <f>'Formato 6 a)'!E38</f>
        <v>30389356.489999998</v>
      </c>
      <c r="T31" s="18">
        <f>'Formato 6 a)'!F38</f>
        <v>30275451.159999996</v>
      </c>
      <c r="U31" s="18">
        <f>'Formato 6 a)'!G38</f>
        <v>890410.21000000183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11970339.960000001</v>
      </c>
      <c r="Q33" s="18">
        <f>'Formato 6 a)'!C40</f>
        <v>75000</v>
      </c>
      <c r="R33" s="18">
        <f>'Formato 6 a)'!D40</f>
        <v>12045339.960000001</v>
      </c>
      <c r="S33" s="18">
        <f>'Formato 6 a)'!E40</f>
        <v>12030339.939999999</v>
      </c>
      <c r="T33" s="18">
        <f>'Formato 6 a)'!F40</f>
        <v>12030339.939999999</v>
      </c>
      <c r="U33" s="18">
        <f>'Formato 6 a)'!G40</f>
        <v>15000.020000001416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220657.7</v>
      </c>
      <c r="Q34" s="18">
        <f>'Formato 6 a)'!C41</f>
        <v>2323947.86</v>
      </c>
      <c r="R34" s="18">
        <f>'Formato 6 a)'!D41</f>
        <v>2544605.56</v>
      </c>
      <c r="S34" s="18">
        <f>'Formato 6 a)'!E41</f>
        <v>2139000</v>
      </c>
      <c r="T34" s="18">
        <f>'Formato 6 a)'!F41</f>
        <v>2047500</v>
      </c>
      <c r="U34" s="18">
        <f>'Formato 6 a)'!G41</f>
        <v>405605.56000000006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10087549.99</v>
      </c>
      <c r="Q35" s="18">
        <f>'Formato 6 a)'!C42</f>
        <v>809621.19</v>
      </c>
      <c r="R35" s="18">
        <f>'Formato 6 a)'!D42</f>
        <v>10897171.18</v>
      </c>
      <c r="S35" s="18">
        <f>'Formato 6 a)'!E42</f>
        <v>10837109.439999999</v>
      </c>
      <c r="T35" s="18">
        <f>'Formato 6 a)'!F42</f>
        <v>10814704.109999999</v>
      </c>
      <c r="U35" s="18">
        <f>'Formato 6 a)'!G42</f>
        <v>60061.740000000224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4089917</v>
      </c>
      <c r="Q36" s="18">
        <f>'Formato 6 a)'!C43</f>
        <v>135463</v>
      </c>
      <c r="R36" s="18">
        <f>'Formato 6 a)'!D43</f>
        <v>4225380</v>
      </c>
      <c r="S36" s="18">
        <f>'Formato 6 a)'!E43</f>
        <v>3815637.11</v>
      </c>
      <c r="T36" s="18">
        <f>'Formato 6 a)'!F43</f>
        <v>3815637.11</v>
      </c>
      <c r="U36" s="18">
        <f>'Formato 6 a)'!G43</f>
        <v>409742.89000000013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1426720</v>
      </c>
      <c r="R39" s="18">
        <f>'Formato 6 a)'!D46</f>
        <v>1426720</v>
      </c>
      <c r="S39" s="18">
        <f>'Formato 6 a)'!E46</f>
        <v>1426720</v>
      </c>
      <c r="T39" s="18">
        <f>'Formato 6 a)'!F46</f>
        <v>1426720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150000</v>
      </c>
      <c r="Q40" s="18">
        <f>'Formato 6 a)'!C47</f>
        <v>-9450</v>
      </c>
      <c r="R40" s="18">
        <f>'Formato 6 a)'!D47</f>
        <v>140550</v>
      </c>
      <c r="S40" s="18">
        <f>'Formato 6 a)'!E47</f>
        <v>140550</v>
      </c>
      <c r="T40" s="18">
        <f>'Formato 6 a)'!F47</f>
        <v>140550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1768404.04</v>
      </c>
      <c r="Q41" s="18">
        <f>'Formato 6 a)'!C48</f>
        <v>743440.49</v>
      </c>
      <c r="R41" s="18">
        <f>'Formato 6 a)'!D48</f>
        <v>2511844.5300000003</v>
      </c>
      <c r="S41" s="18">
        <f>'Formato 6 a)'!E48</f>
        <v>2325056.0799999996</v>
      </c>
      <c r="T41" s="18">
        <f>'Formato 6 a)'!F48</f>
        <v>2131853.9899999998</v>
      </c>
      <c r="U41" s="18">
        <f>'Formato 6 a)'!G48</f>
        <v>186788.45000000007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527780.04</v>
      </c>
      <c r="Q42" s="18">
        <f>'Formato 6 a)'!C49</f>
        <v>244185.49</v>
      </c>
      <c r="R42" s="18">
        <f>'Formato 6 a)'!D49</f>
        <v>771965.53</v>
      </c>
      <c r="S42" s="18">
        <f>'Formato 6 a)'!E49</f>
        <v>687821.98</v>
      </c>
      <c r="T42" s="18">
        <f>'Formato 6 a)'!F49</f>
        <v>616409.88</v>
      </c>
      <c r="U42" s="18">
        <f>'Formato 6 a)'!G49</f>
        <v>84143.550000000047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145329</v>
      </c>
      <c r="Q43" s="18">
        <f>'Formato 6 a)'!C50</f>
        <v>1000</v>
      </c>
      <c r="R43" s="18">
        <f>'Formato 6 a)'!D50</f>
        <v>146329</v>
      </c>
      <c r="S43" s="18">
        <f>'Formato 6 a)'!E50</f>
        <v>125080.49</v>
      </c>
      <c r="T43" s="18">
        <f>'Formato 6 a)'!F50</f>
        <v>93250.5</v>
      </c>
      <c r="U43" s="18">
        <f>'Formato 6 a)'!G50</f>
        <v>21248.509999999995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976000</v>
      </c>
      <c r="Q45" s="18">
        <f>'Formato 6 a)'!C52</f>
        <v>530000</v>
      </c>
      <c r="R45" s="18">
        <f>'Formato 6 a)'!D52</f>
        <v>1506000</v>
      </c>
      <c r="S45" s="18">
        <f>'Formato 6 a)'!E52</f>
        <v>1452122</v>
      </c>
      <c r="T45" s="18">
        <f>'Formato 6 a)'!F52</f>
        <v>1362162</v>
      </c>
      <c r="U45" s="18">
        <f>'Formato 6 a)'!G52</f>
        <v>53878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95445</v>
      </c>
      <c r="Q47" s="18">
        <f>'Formato 6 a)'!C54</f>
        <v>-10795</v>
      </c>
      <c r="R47" s="18">
        <f>'Formato 6 a)'!D54</f>
        <v>84650</v>
      </c>
      <c r="S47" s="18">
        <f>'Formato 6 a)'!E54</f>
        <v>60031.61</v>
      </c>
      <c r="T47" s="18">
        <f>'Formato 6 a)'!F54</f>
        <v>60031.61</v>
      </c>
      <c r="U47" s="18">
        <f>'Formato 6 a)'!G54</f>
        <v>24618.39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23850</v>
      </c>
      <c r="Q50" s="18">
        <f>'Formato 6 a)'!C57</f>
        <v>-20950</v>
      </c>
      <c r="R50" s="18">
        <f>'Formato 6 a)'!D57</f>
        <v>2900</v>
      </c>
      <c r="S50" s="18">
        <f>'Formato 6 a)'!E57</f>
        <v>0</v>
      </c>
      <c r="T50" s="18">
        <f>'Formato 6 a)'!F57</f>
        <v>0</v>
      </c>
      <c r="U50" s="18">
        <f>'Formato 6 a)'!G57</f>
        <v>2900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27086681.829999998</v>
      </c>
      <c r="Q51" s="18">
        <f>'Formato 6 a)'!C58</f>
        <v>15824525.15</v>
      </c>
      <c r="R51" s="18">
        <f>'Formato 6 a)'!D58</f>
        <v>42911206.979999997</v>
      </c>
      <c r="S51" s="18">
        <f>'Formato 6 a)'!E58</f>
        <v>12880483.360000001</v>
      </c>
      <c r="T51" s="18">
        <f>'Formato 6 a)'!F58</f>
        <v>7491890.2999999998</v>
      </c>
      <c r="U51" s="18">
        <f>'Formato 6 a)'!G58</f>
        <v>30030723.619999997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27086681.829999998</v>
      </c>
      <c r="Q52" s="18">
        <f>'Formato 6 a)'!C59</f>
        <v>15786122.470000001</v>
      </c>
      <c r="R52" s="18">
        <f>'Formato 6 a)'!D59</f>
        <v>42872804.299999997</v>
      </c>
      <c r="S52" s="18">
        <f>'Formato 6 a)'!E59</f>
        <v>12842536.800000001</v>
      </c>
      <c r="T52" s="18">
        <f>'Formato 6 a)'!F59</f>
        <v>7486902.2000000002</v>
      </c>
      <c r="U52" s="18">
        <f>'Formato 6 a)'!G59</f>
        <v>30030267.499999996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38402.68</v>
      </c>
      <c r="R54" s="18">
        <f>'Formato 6 a)'!D61</f>
        <v>38402.68</v>
      </c>
      <c r="S54" s="18">
        <f>'Formato 6 a)'!E61</f>
        <v>37946.559999999998</v>
      </c>
      <c r="T54" s="18">
        <f>'Formato 6 a)'!F61</f>
        <v>4988.1000000000004</v>
      </c>
      <c r="U54" s="18">
        <f>'Formato 6 a)'!G61</f>
        <v>456.12000000000262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438604834.11999995</v>
      </c>
      <c r="Q76">
        <f>'Formato 6 a)'!C84</f>
        <v>-58390518.319999993</v>
      </c>
      <c r="R76">
        <f>'Formato 6 a)'!D84</f>
        <v>380214315.80000001</v>
      </c>
      <c r="S76">
        <f>'Formato 6 a)'!E84</f>
        <v>179716442.11000001</v>
      </c>
      <c r="T76">
        <f>'Formato 6 a)'!F84</f>
        <v>153665596</v>
      </c>
      <c r="U76">
        <f>'Formato 6 a)'!G84</f>
        <v>200497873.69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47801372.699999996</v>
      </c>
      <c r="Q77">
        <f>'Formato 6 a)'!C85</f>
        <v>-5665763.8300000001</v>
      </c>
      <c r="R77">
        <f>'Formato 6 a)'!D85</f>
        <v>42135608.869999997</v>
      </c>
      <c r="S77">
        <f>'Formato 6 a)'!E85</f>
        <v>41577663.219999999</v>
      </c>
      <c r="T77">
        <f>'Formato 6 a)'!F85</f>
        <v>41205279.18</v>
      </c>
      <c r="U77">
        <f>'Formato 6 a)'!G85</f>
        <v>557945.64999999898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30175938.399999999</v>
      </c>
      <c r="Q78">
        <f>'Formato 6 a)'!C86</f>
        <v>-2412463.4500000002</v>
      </c>
      <c r="R78">
        <f>'Formato 6 a)'!D86</f>
        <v>27763474.949999999</v>
      </c>
      <c r="S78">
        <f>'Formato 6 a)'!E86</f>
        <v>27705707.030000001</v>
      </c>
      <c r="T78">
        <f>'Formato 6 a)'!F86</f>
        <v>27705707.030000001</v>
      </c>
      <c r="U78">
        <f>'Formato 6 a)'!G86</f>
        <v>57767.919999998063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1179151.7</v>
      </c>
      <c r="Q79">
        <f>'Formato 6 a)'!C87</f>
        <v>-251019.07</v>
      </c>
      <c r="R79">
        <f>'Formato 6 a)'!D87</f>
        <v>928132.62999999989</v>
      </c>
      <c r="S79">
        <f>'Formato 6 a)'!E87</f>
        <v>518850</v>
      </c>
      <c r="T79">
        <f>'Formato 6 a)'!F87</f>
        <v>518850</v>
      </c>
      <c r="U79">
        <f>'Formato 6 a)'!G87</f>
        <v>409282.62999999989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5470217</v>
      </c>
      <c r="Q80">
        <f>'Formato 6 a)'!C88</f>
        <v>-431845.2</v>
      </c>
      <c r="R80">
        <f>'Formato 6 a)'!D88</f>
        <v>5038371.8</v>
      </c>
      <c r="S80">
        <f>'Formato 6 a)'!E88</f>
        <v>4978021.2699999996</v>
      </c>
      <c r="T80">
        <f>'Formato 6 a)'!F88</f>
        <v>4978021.2699999996</v>
      </c>
      <c r="U80">
        <f>'Formato 6 a)'!G88</f>
        <v>60350.530000000261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4056000</v>
      </c>
      <c r="Q81">
        <f>'Formato 6 a)'!C89</f>
        <v>-96593.25</v>
      </c>
      <c r="R81">
        <f>'Formato 6 a)'!D89</f>
        <v>3959406.75</v>
      </c>
      <c r="S81">
        <f>'Formato 6 a)'!E89</f>
        <v>3946502.6</v>
      </c>
      <c r="T81">
        <f>'Formato 6 a)'!F89</f>
        <v>3574118.56</v>
      </c>
      <c r="U81">
        <f>'Formato 6 a)'!G89</f>
        <v>12904.149999999907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6874960</v>
      </c>
      <c r="Q82">
        <f>'Formato 6 a)'!C90</f>
        <v>-2473842.86</v>
      </c>
      <c r="R82">
        <f>'Formato 6 a)'!D90</f>
        <v>4401117.1400000006</v>
      </c>
      <c r="S82">
        <f>'Formato 6 a)'!E90</f>
        <v>4383476.72</v>
      </c>
      <c r="T82">
        <f>'Formato 6 a)'!F90</f>
        <v>4383476.72</v>
      </c>
      <c r="U82">
        <f>'Formato 6 a)'!G90</f>
        <v>17640.420000000857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45105.599999999999</v>
      </c>
      <c r="Q84">
        <f>'Formato 6 a)'!C92</f>
        <v>0</v>
      </c>
      <c r="R84">
        <f>'Formato 6 a)'!D92</f>
        <v>45105.599999999999</v>
      </c>
      <c r="S84">
        <f>'Formato 6 a)'!E92</f>
        <v>45105.599999999999</v>
      </c>
      <c r="T84">
        <f>'Formato 6 a)'!F92</f>
        <v>45105.599999999999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17336186.009999998</v>
      </c>
      <c r="Q85">
        <f>'Formato 6 a)'!C93</f>
        <v>1405512.1799999995</v>
      </c>
      <c r="R85">
        <f>'Formato 6 a)'!D93</f>
        <v>18741698.190000001</v>
      </c>
      <c r="S85">
        <f>'Formato 6 a)'!E93</f>
        <v>17770863.050000001</v>
      </c>
      <c r="T85">
        <f>'Formato 6 a)'!F93</f>
        <v>16272906.690000001</v>
      </c>
      <c r="U85">
        <f>'Formato 6 a)'!G93</f>
        <v>970835.13999999943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469645.1</v>
      </c>
      <c r="Q86">
        <f>'Formato 6 a)'!C94</f>
        <v>408467.88</v>
      </c>
      <c r="R86">
        <f>'Formato 6 a)'!D94</f>
        <v>878112.98</v>
      </c>
      <c r="S86">
        <f>'Formato 6 a)'!E94</f>
        <v>790326.93</v>
      </c>
      <c r="T86">
        <f>'Formato 6 a)'!F94</f>
        <v>770121.59</v>
      </c>
      <c r="U86">
        <f>'Formato 6 a)'!G94</f>
        <v>87786.04999999993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1368</v>
      </c>
      <c r="Q87">
        <f>'Formato 6 a)'!C95</f>
        <v>159874.22</v>
      </c>
      <c r="R87">
        <f>'Formato 6 a)'!D95</f>
        <v>161242.22</v>
      </c>
      <c r="S87">
        <f>'Formato 6 a)'!E95</f>
        <v>134542.23000000001</v>
      </c>
      <c r="T87">
        <f>'Formato 6 a)'!F95</f>
        <v>114414.41</v>
      </c>
      <c r="U87">
        <f>'Formato 6 a)'!G95</f>
        <v>26699.989999999991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0</v>
      </c>
      <c r="Q88">
        <f>'Formato 6 a)'!C96</f>
        <v>25900</v>
      </c>
      <c r="R88">
        <f>'Formato 6 a)'!D96</f>
        <v>25900</v>
      </c>
      <c r="S88">
        <f>'Formato 6 a)'!E96</f>
        <v>3850</v>
      </c>
      <c r="T88">
        <f>'Formato 6 a)'!F96</f>
        <v>3850</v>
      </c>
      <c r="U88">
        <f>'Formato 6 a)'!G96</f>
        <v>22050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3709459.35</v>
      </c>
      <c r="Q89">
        <f>'Formato 6 a)'!C97</f>
        <v>1320931.05</v>
      </c>
      <c r="R89">
        <f>'Formato 6 a)'!D97</f>
        <v>5030390.4000000004</v>
      </c>
      <c r="S89">
        <f>'Formato 6 a)'!E97</f>
        <v>4585731.6500000004</v>
      </c>
      <c r="T89">
        <f>'Formato 6 a)'!F97</f>
        <v>4191150.1</v>
      </c>
      <c r="U89">
        <f>'Formato 6 a)'!G97</f>
        <v>444658.75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162050.41</v>
      </c>
      <c r="Q90">
        <f>'Formato 6 a)'!C98</f>
        <v>6759.17</v>
      </c>
      <c r="R90">
        <f>'Formato 6 a)'!D98</f>
        <v>168809.58000000002</v>
      </c>
      <c r="S90">
        <f>'Formato 6 a)'!E98</f>
        <v>87778.18</v>
      </c>
      <c r="T90">
        <f>'Formato 6 a)'!F98</f>
        <v>69064.070000000007</v>
      </c>
      <c r="U90">
        <f>'Formato 6 a)'!G98</f>
        <v>81031.400000000023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7422252.7999999998</v>
      </c>
      <c r="Q91">
        <f>'Formato 6 a)'!C99</f>
        <v>1825606.95</v>
      </c>
      <c r="R91">
        <f>'Formato 6 a)'!D99</f>
        <v>9247859.75</v>
      </c>
      <c r="S91">
        <f>'Formato 6 a)'!E99</f>
        <v>9161857.5600000005</v>
      </c>
      <c r="T91">
        <f>'Formato 6 a)'!F99</f>
        <v>8843614.4000000004</v>
      </c>
      <c r="U91">
        <f>'Formato 6 a)'!G99</f>
        <v>86002.189999999478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2484877.1</v>
      </c>
      <c r="Q92">
        <f>'Formato 6 a)'!C100</f>
        <v>-1302618.1000000001</v>
      </c>
      <c r="R92">
        <f>'Formato 6 a)'!D100</f>
        <v>1182259</v>
      </c>
      <c r="S92">
        <f>'Formato 6 a)'!E100</f>
        <v>1138140.96</v>
      </c>
      <c r="T92">
        <f>'Formato 6 a)'!F100</f>
        <v>483608.64</v>
      </c>
      <c r="U92">
        <f>'Formato 6 a)'!G100</f>
        <v>44118.040000000037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542040</v>
      </c>
      <c r="Q93">
        <f>'Formato 6 a)'!C101</f>
        <v>-508040</v>
      </c>
      <c r="R93">
        <f>'Formato 6 a)'!D101</f>
        <v>34000</v>
      </c>
      <c r="S93">
        <f>'Formato 6 a)'!E101</f>
        <v>27840</v>
      </c>
      <c r="T93">
        <f>'Formato 6 a)'!F101</f>
        <v>27840</v>
      </c>
      <c r="U93">
        <f>'Formato 6 a)'!G101</f>
        <v>6160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2544493.25</v>
      </c>
      <c r="Q94">
        <f>'Formato 6 a)'!C102</f>
        <v>-531368.99</v>
      </c>
      <c r="R94">
        <f>'Formato 6 a)'!D102</f>
        <v>2013124.26</v>
      </c>
      <c r="S94">
        <f>'Formato 6 a)'!E102</f>
        <v>1840795.54</v>
      </c>
      <c r="T94">
        <f>'Formato 6 a)'!F102</f>
        <v>1769243.48</v>
      </c>
      <c r="U94">
        <f>'Formato 6 a)'!G102</f>
        <v>172328.71999999997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17999509.379999999</v>
      </c>
      <c r="Q95">
        <f>'Formato 6 a)'!C103</f>
        <v>5808006.4299999997</v>
      </c>
      <c r="R95">
        <f>'Formato 6 a)'!D103</f>
        <v>23807515.809999999</v>
      </c>
      <c r="S95">
        <f>'Formato 6 a)'!E103</f>
        <v>22855451.009999998</v>
      </c>
      <c r="T95">
        <f>'Formato 6 a)'!F103</f>
        <v>15906292.75</v>
      </c>
      <c r="U95">
        <f>'Formato 6 a)'!G103</f>
        <v>952064.79999999981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916900</v>
      </c>
      <c r="Q96">
        <f>'Formato 6 a)'!C104</f>
        <v>-909700</v>
      </c>
      <c r="R96">
        <f>'Formato 6 a)'!D104</f>
        <v>7200</v>
      </c>
      <c r="S96">
        <f>'Formato 6 a)'!E104</f>
        <v>1800</v>
      </c>
      <c r="T96">
        <f>'Formato 6 a)'!F104</f>
        <v>400</v>
      </c>
      <c r="U96">
        <f>'Formato 6 a)'!G104</f>
        <v>5400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0</v>
      </c>
      <c r="Q97">
        <f>'Formato 6 a)'!C105</f>
        <v>27367.52</v>
      </c>
      <c r="R97">
        <f>'Formato 6 a)'!D105</f>
        <v>27367.52</v>
      </c>
      <c r="S97">
        <f>'Formato 6 a)'!E105</f>
        <v>24607.52</v>
      </c>
      <c r="T97">
        <f>'Formato 6 a)'!F105</f>
        <v>24607.52</v>
      </c>
      <c r="U97">
        <f>'Formato 6 a)'!G105</f>
        <v>2760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4555783.7</v>
      </c>
      <c r="Q98">
        <f>'Formato 6 a)'!C106</f>
        <v>-3711934.2</v>
      </c>
      <c r="R98">
        <f>'Formato 6 a)'!D106</f>
        <v>843849.5</v>
      </c>
      <c r="S98">
        <f>'Formato 6 a)'!E106</f>
        <v>216362</v>
      </c>
      <c r="T98">
        <f>'Formato 6 a)'!F106</f>
        <v>102362</v>
      </c>
      <c r="U98">
        <f>'Formato 6 a)'!G106</f>
        <v>627487.5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352263.91</v>
      </c>
      <c r="Q99">
        <f>'Formato 6 a)'!C107</f>
        <v>102016</v>
      </c>
      <c r="R99">
        <f>'Formato 6 a)'!D107</f>
        <v>454279.91</v>
      </c>
      <c r="S99">
        <f>'Formato 6 a)'!E107</f>
        <v>392979.7</v>
      </c>
      <c r="T99">
        <f>'Formato 6 a)'!F107</f>
        <v>297555.65999999997</v>
      </c>
      <c r="U99">
        <f>'Formato 6 a)'!G107</f>
        <v>61300.209999999963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1268366</v>
      </c>
      <c r="Q100">
        <f>'Formato 6 a)'!C108</f>
        <v>213780.31</v>
      </c>
      <c r="R100">
        <f>'Formato 6 a)'!D108</f>
        <v>1482146.31</v>
      </c>
      <c r="S100">
        <f>'Formato 6 a)'!E108</f>
        <v>1440994.97</v>
      </c>
      <c r="T100">
        <f>'Formato 6 a)'!F108</f>
        <v>1371059.16</v>
      </c>
      <c r="U100">
        <f>'Formato 6 a)'!G108</f>
        <v>41151.340000000084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40000</v>
      </c>
      <c r="Q102">
        <f>'Formato 6 a)'!C110</f>
        <v>-12867.7</v>
      </c>
      <c r="R102">
        <f>'Formato 6 a)'!D110</f>
        <v>27132.3</v>
      </c>
      <c r="S102">
        <f>'Formato 6 a)'!E110</f>
        <v>8544.81</v>
      </c>
      <c r="T102">
        <f>'Formato 6 a)'!F110</f>
        <v>7890.81</v>
      </c>
      <c r="U102">
        <f>'Formato 6 a)'!G110</f>
        <v>18587.489999999998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11403</v>
      </c>
      <c r="Q103">
        <f>'Formato 6 a)'!C111</f>
        <v>4988597</v>
      </c>
      <c r="R103">
        <f>'Formato 6 a)'!D111</f>
        <v>5000000</v>
      </c>
      <c r="S103">
        <f>'Formato 6 a)'!E111</f>
        <v>5000000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10854792.77</v>
      </c>
      <c r="Q104">
        <f>'Formato 6 a)'!C112</f>
        <v>5110747.5</v>
      </c>
      <c r="R104">
        <f>'Formato 6 a)'!D112</f>
        <v>15965540.27</v>
      </c>
      <c r="S104">
        <f>'Formato 6 a)'!E112</f>
        <v>15770162.01</v>
      </c>
      <c r="T104">
        <f>'Formato 6 a)'!F112</f>
        <v>14102417.6</v>
      </c>
      <c r="U104">
        <f>'Formato 6 a)'!G112</f>
        <v>195378.25999999978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1278968.1000000001</v>
      </c>
      <c r="Q105">
        <f>'Formato 6 a)'!C113</f>
        <v>1884531.9</v>
      </c>
      <c r="R105">
        <f>'Formato 6 a)'!D113</f>
        <v>3163500</v>
      </c>
      <c r="S105">
        <f>'Formato 6 a)'!E113</f>
        <v>2813500</v>
      </c>
      <c r="T105">
        <f>'Formato 6 a)'!F113</f>
        <v>2600000</v>
      </c>
      <c r="U105">
        <f>'Formato 6 a)'!G113</f>
        <v>350000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1092968.1000000001</v>
      </c>
      <c r="Q108">
        <f>'Formato 6 a)'!C116</f>
        <v>2070531.9</v>
      </c>
      <c r="R108">
        <f>'Formato 6 a)'!D116</f>
        <v>3163500</v>
      </c>
      <c r="S108">
        <f>'Formato 6 a)'!E116</f>
        <v>2813500</v>
      </c>
      <c r="T108">
        <f>'Formato 6 a)'!F116</f>
        <v>2600000</v>
      </c>
      <c r="U108">
        <f>'Formato 6 a)'!G116</f>
        <v>350000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186000</v>
      </c>
      <c r="Q109">
        <f>'Formato 6 a)'!C117</f>
        <v>-186000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3992782.3</v>
      </c>
      <c r="Q115">
        <f>'Formato 6 a)'!C123</f>
        <v>5668780.75</v>
      </c>
      <c r="R115">
        <f>'Formato 6 a)'!D123</f>
        <v>9661563.0500000007</v>
      </c>
      <c r="S115">
        <f>'Formato 6 a)'!E123</f>
        <v>9147415.4500000011</v>
      </c>
      <c r="T115">
        <f>'Formato 6 a)'!F123</f>
        <v>3106020.74</v>
      </c>
      <c r="U115">
        <f>'Formato 6 a)'!G123</f>
        <v>514147.59999999957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1241801.2</v>
      </c>
      <c r="Q116">
        <f>'Formato 6 a)'!C124</f>
        <v>-465561.15</v>
      </c>
      <c r="R116">
        <f>'Formato 6 a)'!D124</f>
        <v>776240.04999999993</v>
      </c>
      <c r="S116">
        <f>'Formato 6 a)'!E124</f>
        <v>738694.28</v>
      </c>
      <c r="T116">
        <f>'Formato 6 a)'!F124</f>
        <v>701098.14</v>
      </c>
      <c r="U116">
        <f>'Formato 6 a)'!G124</f>
        <v>37545.769999999902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186299.1</v>
      </c>
      <c r="Q117">
        <f>'Formato 6 a)'!C125</f>
        <v>257982.9</v>
      </c>
      <c r="R117">
        <f>'Formato 6 a)'!D125</f>
        <v>444282</v>
      </c>
      <c r="S117">
        <f>'Formato 6 a)'!E125</f>
        <v>6900</v>
      </c>
      <c r="T117">
        <f>'Formato 6 a)'!F125</f>
        <v>6900</v>
      </c>
      <c r="U117">
        <f>'Formato 6 a)'!G125</f>
        <v>437382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2320000</v>
      </c>
      <c r="Q119">
        <f>'Formato 6 a)'!C127</f>
        <v>5779980</v>
      </c>
      <c r="R119">
        <f>'Formato 6 a)'!D127</f>
        <v>8099980</v>
      </c>
      <c r="S119">
        <f>'Formato 6 a)'!E127</f>
        <v>8088233.6100000003</v>
      </c>
      <c r="T119">
        <f>'Formato 6 a)'!F127</f>
        <v>2296733.6</v>
      </c>
      <c r="U119">
        <f>'Formato 6 a)'!G127</f>
        <v>11746.389999999665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134250</v>
      </c>
      <c r="Q121">
        <f>'Formato 6 a)'!C129</f>
        <v>151595</v>
      </c>
      <c r="R121">
        <f>'Formato 6 a)'!D129</f>
        <v>285845</v>
      </c>
      <c r="S121">
        <f>'Formato 6 a)'!E129</f>
        <v>258371.56</v>
      </c>
      <c r="T121">
        <f>'Formato 6 a)'!F129</f>
        <v>46073</v>
      </c>
      <c r="U121">
        <f>'Formato 6 a)'!G129</f>
        <v>27473.440000000002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110432</v>
      </c>
      <c r="Q124">
        <f>'Formato 6 a)'!C132</f>
        <v>-55216</v>
      </c>
      <c r="R124">
        <f>'Formato 6 a)'!D132</f>
        <v>55216</v>
      </c>
      <c r="S124">
        <f>'Formato 6 a)'!E132</f>
        <v>55216</v>
      </c>
      <c r="T124">
        <f>'Formato 6 a)'!F132</f>
        <v>55216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343402320.30000001</v>
      </c>
      <c r="Q125">
        <f>'Formato 6 a)'!C133</f>
        <v>-64299286.659999996</v>
      </c>
      <c r="R125">
        <f>'Formato 6 a)'!D133</f>
        <v>279103033.63999999</v>
      </c>
      <c r="S125">
        <f>'Formato 6 a)'!E133</f>
        <v>81950153.140000001</v>
      </c>
      <c r="T125">
        <f>'Formato 6 a)'!F133</f>
        <v>70973700.399999991</v>
      </c>
      <c r="U125">
        <f>'Formato 6 a)'!G133</f>
        <v>197152880.5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342511032.44</v>
      </c>
      <c r="Q126">
        <f>'Formato 6 a)'!C134</f>
        <v>-63705367.759999998</v>
      </c>
      <c r="R126">
        <f>'Formato 6 a)'!D134</f>
        <v>278805664.68000001</v>
      </c>
      <c r="S126">
        <f>'Formato 6 a)'!E134</f>
        <v>81652784.180000007</v>
      </c>
      <c r="T126">
        <f>'Formato 6 a)'!F134</f>
        <v>70928807.439999998</v>
      </c>
      <c r="U126">
        <f>'Formato 6 a)'!G134</f>
        <v>197152880.5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891287.86</v>
      </c>
      <c r="Q128">
        <f>'Formato 6 a)'!C136</f>
        <v>-593918.9</v>
      </c>
      <c r="R128">
        <f>'Formato 6 a)'!D136</f>
        <v>297368.95999999996</v>
      </c>
      <c r="S128">
        <f>'Formato 6 a)'!E136</f>
        <v>297368.96000000002</v>
      </c>
      <c r="T128">
        <f>'Formato 6 a)'!F136</f>
        <v>44892.959999999999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6793695.3300000001</v>
      </c>
      <c r="Q142">
        <f>'Formato 6 a)'!C150</f>
        <v>-3192299.09</v>
      </c>
      <c r="R142">
        <f>'Formato 6 a)'!D150</f>
        <v>3601396.24</v>
      </c>
      <c r="S142">
        <f>'Formato 6 a)'!E150</f>
        <v>3601396.2399999998</v>
      </c>
      <c r="T142">
        <f>'Formato 6 a)'!F150</f>
        <v>3601396.2399999998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5791195.3300000001</v>
      </c>
      <c r="Q143">
        <f>'Formato 6 a)'!C151</f>
        <v>-2212499.89</v>
      </c>
      <c r="R143">
        <f>'Formato 6 a)'!D151</f>
        <v>3578695.44</v>
      </c>
      <c r="S143">
        <f>'Formato 6 a)'!E151</f>
        <v>3578695.44</v>
      </c>
      <c r="T143">
        <f>'Formato 6 a)'!F151</f>
        <v>3578695.44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1002500</v>
      </c>
      <c r="Q144">
        <f>'Formato 6 a)'!C152</f>
        <v>-979799.2</v>
      </c>
      <c r="R144">
        <f>'Formato 6 a)'!D152</f>
        <v>22700.800000000047</v>
      </c>
      <c r="S144">
        <f>'Formato 6 a)'!E152</f>
        <v>22700.799999999999</v>
      </c>
      <c r="T144">
        <f>'Formato 6 a)'!F152</f>
        <v>22700.799999999999</v>
      </c>
      <c r="U144">
        <f>'Formato 6 a)'!G152</f>
        <v>4.7293724492192268E-11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622253800.18999994</v>
      </c>
      <c r="Q150">
        <f>'Formato 6 a)'!C159</f>
        <v>-34115764.629999995</v>
      </c>
      <c r="R150">
        <f>'Formato 6 a)'!D159</f>
        <v>588138035.55999994</v>
      </c>
      <c r="S150">
        <f>'Formato 6 a)'!E159</f>
        <v>343445506.47000003</v>
      </c>
      <c r="T150">
        <f>'Formato 6 a)'!F159</f>
        <v>310697991.76000005</v>
      </c>
      <c r="U150">
        <f>'Formato 6 a)'!G159</f>
        <v>244692529.09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143"/>
  <sheetViews>
    <sheetView showGridLines="0" zoomScale="90" zoomScaleNormal="90" workbookViewId="0">
      <selection sqref="A1:XFD1048576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04" t="s">
        <v>3282</v>
      </c>
      <c r="B1" s="204"/>
      <c r="C1" s="204"/>
      <c r="D1" s="204"/>
      <c r="E1" s="204"/>
      <c r="F1" s="204"/>
      <c r="G1" s="204"/>
    </row>
    <row r="2" spans="1:7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6"/>
      <c r="G2" s="187"/>
    </row>
    <row r="3" spans="1:7" x14ac:dyDescent="0.25">
      <c r="A3" s="188" t="s">
        <v>277</v>
      </c>
      <c r="B3" s="189"/>
      <c r="C3" s="189"/>
      <c r="D3" s="189"/>
      <c r="E3" s="189"/>
      <c r="F3" s="189"/>
      <c r="G3" s="190"/>
    </row>
    <row r="4" spans="1:7" x14ac:dyDescent="0.25">
      <c r="A4" s="188" t="s">
        <v>431</v>
      </c>
      <c r="B4" s="189"/>
      <c r="C4" s="189"/>
      <c r="D4" s="189"/>
      <c r="E4" s="189"/>
      <c r="F4" s="189"/>
      <c r="G4" s="190"/>
    </row>
    <row r="5" spans="1:7" x14ac:dyDescent="0.25">
      <c r="A5" s="191" t="str">
        <f>TRIMESTRE</f>
        <v>Del 1 de enero al 31 de diciembre de 2017 (b)</v>
      </c>
      <c r="B5" s="192"/>
      <c r="C5" s="192"/>
      <c r="D5" s="192"/>
      <c r="E5" s="192"/>
      <c r="F5" s="192"/>
      <c r="G5" s="193"/>
    </row>
    <row r="6" spans="1:7" x14ac:dyDescent="0.25">
      <c r="A6" s="194" t="s">
        <v>118</v>
      </c>
      <c r="B6" s="195"/>
      <c r="C6" s="195"/>
      <c r="D6" s="195"/>
      <c r="E6" s="195"/>
      <c r="F6" s="195"/>
      <c r="G6" s="196"/>
    </row>
    <row r="7" spans="1:7" x14ac:dyDescent="0.25">
      <c r="A7" s="200" t="s">
        <v>0</v>
      </c>
      <c r="B7" s="202" t="s">
        <v>279</v>
      </c>
      <c r="C7" s="202"/>
      <c r="D7" s="202"/>
      <c r="E7" s="202"/>
      <c r="F7" s="202"/>
      <c r="G7" s="206" t="s">
        <v>280</v>
      </c>
    </row>
    <row r="8" spans="1:7" ht="30" x14ac:dyDescent="0.25">
      <c r="A8" s="201"/>
      <c r="B8" s="44" t="s">
        <v>281</v>
      </c>
      <c r="C8" s="43" t="s">
        <v>211</v>
      </c>
      <c r="D8" s="44" t="s">
        <v>212</v>
      </c>
      <c r="E8" s="44" t="s">
        <v>167</v>
      </c>
      <c r="F8" s="44" t="s">
        <v>185</v>
      </c>
      <c r="G8" s="205"/>
    </row>
    <row r="9" spans="1:7" x14ac:dyDescent="0.25">
      <c r="A9" s="50" t="s">
        <v>432</v>
      </c>
      <c r="B9" s="163">
        <f>SUM(B10:B74)</f>
        <v>183648966.07000002</v>
      </c>
      <c r="C9" s="163">
        <f t="shared" ref="C9:G9" si="0">SUM(C10:C74)</f>
        <v>24274753.690000005</v>
      </c>
      <c r="D9" s="163">
        <f t="shared" si="0"/>
        <v>207923719.76000002</v>
      </c>
      <c r="E9" s="163">
        <f t="shared" si="0"/>
        <v>163729064.36000001</v>
      </c>
      <c r="F9" s="163">
        <f t="shared" si="0"/>
        <v>157032395.75999996</v>
      </c>
      <c r="G9" s="163">
        <f t="shared" si="0"/>
        <v>44194655.399999999</v>
      </c>
    </row>
    <row r="10" spans="1:7" x14ac:dyDescent="0.25">
      <c r="A10" s="179" t="s">
        <v>3297</v>
      </c>
      <c r="B10" s="176">
        <v>1584521</v>
      </c>
      <c r="C10" s="177">
        <f>D10-B10</f>
        <v>34181.399999999907</v>
      </c>
      <c r="D10" s="176">
        <v>1618702.4</v>
      </c>
      <c r="E10" s="176">
        <v>1614786.4</v>
      </c>
      <c r="F10" s="176">
        <v>1614786.4</v>
      </c>
      <c r="G10" s="178">
        <f>D10-E10</f>
        <v>3916</v>
      </c>
    </row>
    <row r="11" spans="1:7" x14ac:dyDescent="0.25">
      <c r="A11" s="179" t="s">
        <v>3298</v>
      </c>
      <c r="B11" s="176">
        <v>1238640</v>
      </c>
      <c r="C11" s="177">
        <f t="shared" ref="C11:C74" si="1">D11-B11</f>
        <v>17990.800000000047</v>
      </c>
      <c r="D11" s="176">
        <v>1256630.8</v>
      </c>
      <c r="E11" s="176">
        <v>1244198.31</v>
      </c>
      <c r="F11" s="176">
        <v>1244198.31</v>
      </c>
      <c r="G11" s="178">
        <f t="shared" ref="G11:G74" si="2">D11-E11</f>
        <v>12432.489999999991</v>
      </c>
    </row>
    <row r="12" spans="1:7" x14ac:dyDescent="0.25">
      <c r="A12" s="179" t="s">
        <v>3299</v>
      </c>
      <c r="B12" s="176">
        <v>9680159</v>
      </c>
      <c r="C12" s="177">
        <f t="shared" si="1"/>
        <v>160419.19999999925</v>
      </c>
      <c r="D12" s="176">
        <v>9840578.1999999993</v>
      </c>
      <c r="E12" s="176">
        <v>9745389.7899999991</v>
      </c>
      <c r="F12" s="176">
        <v>9727190.3000000007</v>
      </c>
      <c r="G12" s="178">
        <f t="shared" si="2"/>
        <v>95188.410000000149</v>
      </c>
    </row>
    <row r="13" spans="1:7" x14ac:dyDescent="0.25">
      <c r="A13" s="179" t="s">
        <v>3300</v>
      </c>
      <c r="B13" s="176">
        <v>2584367</v>
      </c>
      <c r="C13" s="177">
        <f t="shared" si="1"/>
        <v>513376.04000000004</v>
      </c>
      <c r="D13" s="176">
        <v>3097743.04</v>
      </c>
      <c r="E13" s="176">
        <v>2940096.45</v>
      </c>
      <c r="F13" s="176">
        <v>2940096.45</v>
      </c>
      <c r="G13" s="178">
        <f t="shared" si="2"/>
        <v>157646.58999999985</v>
      </c>
    </row>
    <row r="14" spans="1:7" x14ac:dyDescent="0.25">
      <c r="A14" s="179" t="s">
        <v>3301</v>
      </c>
      <c r="B14" s="176">
        <v>6400848</v>
      </c>
      <c r="C14" s="177">
        <f t="shared" si="1"/>
        <v>366695.55999999959</v>
      </c>
      <c r="D14" s="176">
        <v>6767543.5599999996</v>
      </c>
      <c r="E14" s="176">
        <v>6721358.3399999999</v>
      </c>
      <c r="F14" s="176">
        <v>6721358.3399999999</v>
      </c>
      <c r="G14" s="178">
        <f t="shared" si="2"/>
        <v>46185.219999999739</v>
      </c>
    </row>
    <row r="15" spans="1:7" x14ac:dyDescent="0.25">
      <c r="A15" s="179" t="s">
        <v>3302</v>
      </c>
      <c r="B15" s="176">
        <v>3213948</v>
      </c>
      <c r="C15" s="177">
        <f t="shared" si="1"/>
        <v>398000</v>
      </c>
      <c r="D15" s="176">
        <v>3611948</v>
      </c>
      <c r="E15" s="176">
        <v>3371767.16</v>
      </c>
      <c r="F15" s="176">
        <v>3371767.16</v>
      </c>
      <c r="G15" s="178">
        <f t="shared" si="2"/>
        <v>240180.83999999985</v>
      </c>
    </row>
    <row r="16" spans="1:7" x14ac:dyDescent="0.25">
      <c r="A16" s="179" t="s">
        <v>3303</v>
      </c>
      <c r="B16" s="176">
        <v>1108804</v>
      </c>
      <c r="C16" s="177">
        <f t="shared" si="1"/>
        <v>105420</v>
      </c>
      <c r="D16" s="176">
        <v>1214224</v>
      </c>
      <c r="E16" s="176">
        <v>1154019.05</v>
      </c>
      <c r="F16" s="176">
        <v>1154019.05</v>
      </c>
      <c r="G16" s="178">
        <f t="shared" si="2"/>
        <v>60204.949999999953</v>
      </c>
    </row>
    <row r="17" spans="1:7" x14ac:dyDescent="0.25">
      <c r="A17" s="179" t="s">
        <v>3304</v>
      </c>
      <c r="B17" s="176">
        <v>3446704</v>
      </c>
      <c r="C17" s="177">
        <f t="shared" si="1"/>
        <v>19877.600000000093</v>
      </c>
      <c r="D17" s="176">
        <v>3466581.6</v>
      </c>
      <c r="E17" s="176">
        <v>3344640.24</v>
      </c>
      <c r="F17" s="176">
        <v>3344640.24</v>
      </c>
      <c r="G17" s="178">
        <f t="shared" si="2"/>
        <v>121941.35999999987</v>
      </c>
    </row>
    <row r="18" spans="1:7" x14ac:dyDescent="0.25">
      <c r="A18" s="179" t="s">
        <v>3305</v>
      </c>
      <c r="B18" s="176">
        <v>1700295</v>
      </c>
      <c r="C18" s="177">
        <f t="shared" si="1"/>
        <v>350000</v>
      </c>
      <c r="D18" s="176">
        <v>2050295</v>
      </c>
      <c r="E18" s="176">
        <v>1495595.14</v>
      </c>
      <c r="F18" s="176">
        <v>1495595.14</v>
      </c>
      <c r="G18" s="178">
        <f t="shared" si="2"/>
        <v>554699.8600000001</v>
      </c>
    </row>
    <row r="19" spans="1:7" x14ac:dyDescent="0.25">
      <c r="A19" s="179" t="s">
        <v>3306</v>
      </c>
      <c r="B19" s="176">
        <v>103426</v>
      </c>
      <c r="C19" s="177">
        <f t="shared" si="1"/>
        <v>0</v>
      </c>
      <c r="D19" s="176">
        <v>103426</v>
      </c>
      <c r="E19" s="176">
        <v>100631.28</v>
      </c>
      <c r="F19" s="176">
        <v>100631.28</v>
      </c>
      <c r="G19" s="178">
        <f t="shared" si="2"/>
        <v>2794.7200000000012</v>
      </c>
    </row>
    <row r="20" spans="1:7" x14ac:dyDescent="0.25">
      <c r="A20" s="179" t="s">
        <v>3307</v>
      </c>
      <c r="B20" s="176">
        <v>419808</v>
      </c>
      <c r="C20" s="177">
        <f t="shared" si="1"/>
        <v>0</v>
      </c>
      <c r="D20" s="176">
        <v>419808</v>
      </c>
      <c r="E20" s="176">
        <v>403211.95</v>
      </c>
      <c r="F20" s="176">
        <v>403211.95</v>
      </c>
      <c r="G20" s="178">
        <f t="shared" si="2"/>
        <v>16596.049999999988</v>
      </c>
    </row>
    <row r="21" spans="1:7" x14ac:dyDescent="0.25">
      <c r="A21" s="179" t="s">
        <v>3308</v>
      </c>
      <c r="B21" s="176">
        <v>429098</v>
      </c>
      <c r="C21" s="177">
        <f t="shared" si="1"/>
        <v>0</v>
      </c>
      <c r="D21" s="176">
        <v>429098</v>
      </c>
      <c r="E21" s="176">
        <v>410479.46</v>
      </c>
      <c r="F21" s="176">
        <v>410479.46</v>
      </c>
      <c r="G21" s="178">
        <f t="shared" si="2"/>
        <v>18618.539999999979</v>
      </c>
    </row>
    <row r="22" spans="1:7" x14ac:dyDescent="0.25">
      <c r="A22" s="179" t="s">
        <v>3309</v>
      </c>
      <c r="B22" s="176">
        <v>244052</v>
      </c>
      <c r="C22" s="177">
        <f t="shared" si="1"/>
        <v>40</v>
      </c>
      <c r="D22" s="176">
        <v>244092</v>
      </c>
      <c r="E22" s="176">
        <v>238958.14</v>
      </c>
      <c r="F22" s="176">
        <v>238958.14</v>
      </c>
      <c r="G22" s="178">
        <f t="shared" si="2"/>
        <v>5133.859999999986</v>
      </c>
    </row>
    <row r="23" spans="1:7" x14ac:dyDescent="0.25">
      <c r="A23" s="179" t="s">
        <v>3310</v>
      </c>
      <c r="B23" s="176">
        <v>34031503.719999999</v>
      </c>
      <c r="C23" s="177">
        <f t="shared" si="1"/>
        <v>2134332.3900000006</v>
      </c>
      <c r="D23" s="176">
        <v>36165836.109999999</v>
      </c>
      <c r="E23" s="176">
        <v>30576659.039999999</v>
      </c>
      <c r="F23" s="176">
        <v>30178354.59</v>
      </c>
      <c r="G23" s="178">
        <f t="shared" si="2"/>
        <v>5589177.0700000003</v>
      </c>
    </row>
    <row r="24" spans="1:7" x14ac:dyDescent="0.25">
      <c r="A24" s="179" t="s">
        <v>3311</v>
      </c>
      <c r="B24" s="176">
        <v>3717607.99</v>
      </c>
      <c r="C24" s="177">
        <f t="shared" si="1"/>
        <v>694437</v>
      </c>
      <c r="D24" s="176">
        <v>4412044.99</v>
      </c>
      <c r="E24" s="176">
        <v>4242170.3</v>
      </c>
      <c r="F24" s="176">
        <v>4197251.4400000004</v>
      </c>
      <c r="G24" s="178">
        <f t="shared" si="2"/>
        <v>169874.69000000041</v>
      </c>
    </row>
    <row r="25" spans="1:7" x14ac:dyDescent="0.25">
      <c r="A25" s="179" t="s">
        <v>3312</v>
      </c>
      <c r="B25" s="176">
        <v>1235867</v>
      </c>
      <c r="C25" s="177">
        <f t="shared" si="1"/>
        <v>3446.8999999999069</v>
      </c>
      <c r="D25" s="176">
        <v>1239313.8999999999</v>
      </c>
      <c r="E25" s="176">
        <v>1229839.51</v>
      </c>
      <c r="F25" s="176">
        <v>1229839.51</v>
      </c>
      <c r="G25" s="178">
        <f t="shared" si="2"/>
        <v>9474.3899999998976</v>
      </c>
    </row>
    <row r="26" spans="1:7" x14ac:dyDescent="0.25">
      <c r="A26" s="179" t="s">
        <v>3313</v>
      </c>
      <c r="B26" s="176">
        <v>523101</v>
      </c>
      <c r="C26" s="177">
        <f t="shared" si="1"/>
        <v>89248</v>
      </c>
      <c r="D26" s="176">
        <v>612349</v>
      </c>
      <c r="E26" s="176">
        <v>559835.67000000004</v>
      </c>
      <c r="F26" s="176">
        <v>559835.67000000004</v>
      </c>
      <c r="G26" s="178">
        <f t="shared" si="2"/>
        <v>52513.329999999958</v>
      </c>
    </row>
    <row r="27" spans="1:7" x14ac:dyDescent="0.25">
      <c r="A27" s="179" t="s">
        <v>3314</v>
      </c>
      <c r="B27" s="176">
        <v>975365</v>
      </c>
      <c r="C27" s="177">
        <f t="shared" si="1"/>
        <v>34000</v>
      </c>
      <c r="D27" s="176">
        <v>1009365</v>
      </c>
      <c r="E27" s="176">
        <v>977281.93</v>
      </c>
      <c r="F27" s="176">
        <v>977281.93</v>
      </c>
      <c r="G27" s="178">
        <f t="shared" si="2"/>
        <v>32083.069999999949</v>
      </c>
    </row>
    <row r="28" spans="1:7" x14ac:dyDescent="0.25">
      <c r="A28" s="179" t="s">
        <v>3315</v>
      </c>
      <c r="B28" s="176">
        <v>789836.2</v>
      </c>
      <c r="C28" s="177">
        <f t="shared" si="1"/>
        <v>42813.330000000075</v>
      </c>
      <c r="D28" s="176">
        <v>832649.53</v>
      </c>
      <c r="E28" s="176">
        <v>813566.4</v>
      </c>
      <c r="F28" s="176">
        <v>813566.4</v>
      </c>
      <c r="G28" s="178">
        <f t="shared" si="2"/>
        <v>19083.130000000005</v>
      </c>
    </row>
    <row r="29" spans="1:7" x14ac:dyDescent="0.25">
      <c r="A29" s="179" t="s">
        <v>3316</v>
      </c>
      <c r="B29" s="176">
        <v>553120.65</v>
      </c>
      <c r="C29" s="177">
        <f t="shared" si="1"/>
        <v>88026</v>
      </c>
      <c r="D29" s="176">
        <v>641146.65</v>
      </c>
      <c r="E29" s="176">
        <v>619711.01</v>
      </c>
      <c r="F29" s="176">
        <v>619711.01</v>
      </c>
      <c r="G29" s="178">
        <f t="shared" si="2"/>
        <v>21435.640000000014</v>
      </c>
    </row>
    <row r="30" spans="1:7" x14ac:dyDescent="0.25">
      <c r="A30" s="179" t="s">
        <v>3317</v>
      </c>
      <c r="B30" s="176">
        <v>642009.9</v>
      </c>
      <c r="C30" s="177">
        <f t="shared" si="1"/>
        <v>0</v>
      </c>
      <c r="D30" s="176">
        <v>642009.9</v>
      </c>
      <c r="E30" s="176">
        <v>639056.07999999996</v>
      </c>
      <c r="F30" s="176">
        <v>639056.07999999996</v>
      </c>
      <c r="G30" s="178">
        <f t="shared" si="2"/>
        <v>2953.8200000000652</v>
      </c>
    </row>
    <row r="31" spans="1:7" x14ac:dyDescent="0.25">
      <c r="A31" s="179" t="s">
        <v>3318</v>
      </c>
      <c r="B31" s="176">
        <v>413382.73</v>
      </c>
      <c r="C31" s="177">
        <f t="shared" si="1"/>
        <v>-562.32999999995809</v>
      </c>
      <c r="D31" s="176">
        <v>412820.4</v>
      </c>
      <c r="E31" s="176">
        <v>412172.96</v>
      </c>
      <c r="F31" s="176">
        <v>412172.96</v>
      </c>
      <c r="G31" s="178">
        <f t="shared" si="2"/>
        <v>647.44000000000233</v>
      </c>
    </row>
    <row r="32" spans="1:7" x14ac:dyDescent="0.25">
      <c r="A32" s="179" t="s">
        <v>3319</v>
      </c>
      <c r="B32" s="176">
        <v>1028484</v>
      </c>
      <c r="C32" s="177">
        <f t="shared" si="1"/>
        <v>221000</v>
      </c>
      <c r="D32" s="176">
        <v>1249484</v>
      </c>
      <c r="E32" s="176">
        <v>1024038.48</v>
      </c>
      <c r="F32" s="176">
        <v>1024038.48</v>
      </c>
      <c r="G32" s="178">
        <f t="shared" si="2"/>
        <v>225445.52000000002</v>
      </c>
    </row>
    <row r="33" spans="1:7" x14ac:dyDescent="0.25">
      <c r="A33" s="179" t="s">
        <v>3320</v>
      </c>
      <c r="B33" s="176">
        <v>631178</v>
      </c>
      <c r="C33" s="177">
        <f t="shared" si="1"/>
        <v>0</v>
      </c>
      <c r="D33" s="176">
        <v>631178</v>
      </c>
      <c r="E33" s="176">
        <v>572179.79</v>
      </c>
      <c r="F33" s="176">
        <v>572179.79</v>
      </c>
      <c r="G33" s="178">
        <f t="shared" si="2"/>
        <v>58998.209999999963</v>
      </c>
    </row>
    <row r="34" spans="1:7" x14ac:dyDescent="0.25">
      <c r="A34" s="179" t="s">
        <v>3321</v>
      </c>
      <c r="B34" s="176">
        <v>24754036.780000001</v>
      </c>
      <c r="C34" s="177">
        <f t="shared" si="1"/>
        <v>16824600.740000002</v>
      </c>
      <c r="D34" s="176">
        <v>41578637.520000003</v>
      </c>
      <c r="E34" s="176">
        <v>9772862.6500000004</v>
      </c>
      <c r="F34" s="176">
        <v>9020634.8900000006</v>
      </c>
      <c r="G34" s="178">
        <f t="shared" si="2"/>
        <v>31805774.870000005</v>
      </c>
    </row>
    <row r="35" spans="1:7" x14ac:dyDescent="0.25">
      <c r="A35" s="179" t="s">
        <v>3322</v>
      </c>
      <c r="B35" s="176">
        <v>5396911</v>
      </c>
      <c r="C35" s="177">
        <f t="shared" si="1"/>
        <v>1097</v>
      </c>
      <c r="D35" s="176">
        <v>5398008</v>
      </c>
      <c r="E35" s="176">
        <v>5307715.37</v>
      </c>
      <c r="F35" s="176">
        <v>5307715.37</v>
      </c>
      <c r="G35" s="178">
        <f t="shared" si="2"/>
        <v>90292.629999999888</v>
      </c>
    </row>
    <row r="36" spans="1:7" x14ac:dyDescent="0.25">
      <c r="A36" s="179" t="s">
        <v>3323</v>
      </c>
      <c r="B36" s="176">
        <v>1848686</v>
      </c>
      <c r="C36" s="177">
        <f t="shared" si="1"/>
        <v>1700</v>
      </c>
      <c r="D36" s="176">
        <v>1850386</v>
      </c>
      <c r="E36" s="176">
        <v>1815709.7</v>
      </c>
      <c r="F36" s="176">
        <v>1815709.7</v>
      </c>
      <c r="G36" s="178">
        <f t="shared" si="2"/>
        <v>34676.300000000047</v>
      </c>
    </row>
    <row r="37" spans="1:7" x14ac:dyDescent="0.25">
      <c r="A37" s="179" t="s">
        <v>3324</v>
      </c>
      <c r="B37" s="176">
        <v>1020381</v>
      </c>
      <c r="C37" s="177">
        <f t="shared" si="1"/>
        <v>-72800</v>
      </c>
      <c r="D37" s="176">
        <v>947581</v>
      </c>
      <c r="E37" s="176">
        <v>922803.96</v>
      </c>
      <c r="F37" s="176">
        <v>922803.96</v>
      </c>
      <c r="G37" s="178">
        <f t="shared" si="2"/>
        <v>24777.040000000037</v>
      </c>
    </row>
    <row r="38" spans="1:7" x14ac:dyDescent="0.25">
      <c r="A38" s="179" t="s">
        <v>3325</v>
      </c>
      <c r="B38" s="176">
        <v>2597196</v>
      </c>
      <c r="C38" s="177">
        <f t="shared" si="1"/>
        <v>-444894</v>
      </c>
      <c r="D38" s="176">
        <v>2152302</v>
      </c>
      <c r="E38" s="176">
        <v>2144523.4</v>
      </c>
      <c r="F38" s="176">
        <v>2144523.4</v>
      </c>
      <c r="G38" s="178">
        <f t="shared" si="2"/>
        <v>7778.6000000000931</v>
      </c>
    </row>
    <row r="39" spans="1:7" x14ac:dyDescent="0.25">
      <c r="A39" s="179" t="s">
        <v>3326</v>
      </c>
      <c r="B39" s="176">
        <v>6906663</v>
      </c>
      <c r="C39" s="177">
        <f t="shared" si="1"/>
        <v>162037</v>
      </c>
      <c r="D39" s="176">
        <v>7068700</v>
      </c>
      <c r="E39" s="176">
        <v>6947994.8600000003</v>
      </c>
      <c r="F39" s="176">
        <v>6947994.8600000003</v>
      </c>
      <c r="G39" s="178">
        <f t="shared" si="2"/>
        <v>120705.13999999966</v>
      </c>
    </row>
    <row r="40" spans="1:7" x14ac:dyDescent="0.25">
      <c r="A40" s="179" t="s">
        <v>3327</v>
      </c>
      <c r="B40" s="176">
        <v>3518471</v>
      </c>
      <c r="C40" s="177">
        <f t="shared" si="1"/>
        <v>-132195</v>
      </c>
      <c r="D40" s="176">
        <v>3386276</v>
      </c>
      <c r="E40" s="176">
        <v>3332915.29</v>
      </c>
      <c r="F40" s="176">
        <v>3332915.29</v>
      </c>
      <c r="G40" s="178">
        <f t="shared" si="2"/>
        <v>53360.709999999963</v>
      </c>
    </row>
    <row r="41" spans="1:7" x14ac:dyDescent="0.25">
      <c r="A41" s="179" t="s">
        <v>3328</v>
      </c>
      <c r="B41" s="176">
        <v>3055971</v>
      </c>
      <c r="C41" s="177">
        <f t="shared" si="1"/>
        <v>-90169</v>
      </c>
      <c r="D41" s="176">
        <v>2965802</v>
      </c>
      <c r="E41" s="176">
        <v>2934180.07</v>
      </c>
      <c r="F41" s="176">
        <v>2934180.07</v>
      </c>
      <c r="G41" s="178">
        <f t="shared" si="2"/>
        <v>31621.930000000168</v>
      </c>
    </row>
    <row r="42" spans="1:7" x14ac:dyDescent="0.25">
      <c r="A42" s="179" t="s">
        <v>3329</v>
      </c>
      <c r="B42" s="176">
        <v>2320490</v>
      </c>
      <c r="C42" s="177">
        <f t="shared" si="1"/>
        <v>-139021</v>
      </c>
      <c r="D42" s="176">
        <v>2181469</v>
      </c>
      <c r="E42" s="176">
        <v>2108854.5699999998</v>
      </c>
      <c r="F42" s="176">
        <v>2108854.5699999998</v>
      </c>
      <c r="G42" s="178">
        <f t="shared" si="2"/>
        <v>72614.430000000168</v>
      </c>
    </row>
    <row r="43" spans="1:7" x14ac:dyDescent="0.25">
      <c r="A43" s="179" t="s">
        <v>3330</v>
      </c>
      <c r="B43" s="176">
        <v>1561347</v>
      </c>
      <c r="C43" s="177">
        <f t="shared" si="1"/>
        <v>-7929</v>
      </c>
      <c r="D43" s="176">
        <v>1553418</v>
      </c>
      <c r="E43" s="176">
        <v>1514950.52</v>
      </c>
      <c r="F43" s="176">
        <v>1514950.52</v>
      </c>
      <c r="G43" s="178">
        <f t="shared" si="2"/>
        <v>38467.479999999981</v>
      </c>
    </row>
    <row r="44" spans="1:7" x14ac:dyDescent="0.25">
      <c r="A44" s="179" t="s">
        <v>3331</v>
      </c>
      <c r="B44" s="176">
        <v>10040661.1</v>
      </c>
      <c r="C44" s="177">
        <f t="shared" si="1"/>
        <v>2365121.4299999997</v>
      </c>
      <c r="D44" s="176">
        <v>12405782.529999999</v>
      </c>
      <c r="E44" s="176">
        <v>11617380.92</v>
      </c>
      <c r="F44" s="176">
        <v>6815515.7400000002</v>
      </c>
      <c r="G44" s="178">
        <f t="shared" si="2"/>
        <v>788401.6099999994</v>
      </c>
    </row>
    <row r="45" spans="1:7" x14ac:dyDescent="0.25">
      <c r="A45" s="179" t="s">
        <v>3332</v>
      </c>
      <c r="B45" s="176">
        <v>2939435</v>
      </c>
      <c r="C45" s="177">
        <f t="shared" si="1"/>
        <v>324</v>
      </c>
      <c r="D45" s="176">
        <v>2939759</v>
      </c>
      <c r="E45" s="176">
        <v>2939407.48</v>
      </c>
      <c r="F45" s="176">
        <v>2939407.48</v>
      </c>
      <c r="G45" s="178">
        <f t="shared" si="2"/>
        <v>351.52000000001863</v>
      </c>
    </row>
    <row r="46" spans="1:7" x14ac:dyDescent="0.25">
      <c r="A46" s="179" t="s">
        <v>3333</v>
      </c>
      <c r="B46" s="176">
        <v>291653</v>
      </c>
      <c r="C46" s="177">
        <f t="shared" si="1"/>
        <v>60000</v>
      </c>
      <c r="D46" s="176">
        <v>351653</v>
      </c>
      <c r="E46" s="176">
        <v>347841.18</v>
      </c>
      <c r="F46" s="176">
        <v>302841.18</v>
      </c>
      <c r="G46" s="178">
        <f t="shared" si="2"/>
        <v>3811.820000000007</v>
      </c>
    </row>
    <row r="47" spans="1:7" x14ac:dyDescent="0.25">
      <c r="A47" s="179" t="s">
        <v>3334</v>
      </c>
      <c r="B47" s="176">
        <v>956606</v>
      </c>
      <c r="C47" s="177">
        <f t="shared" si="1"/>
        <v>0</v>
      </c>
      <c r="D47" s="176">
        <v>956606</v>
      </c>
      <c r="E47" s="176">
        <v>921483.13</v>
      </c>
      <c r="F47" s="176">
        <v>921483.13</v>
      </c>
      <c r="G47" s="178">
        <f t="shared" si="2"/>
        <v>35122.869999999995</v>
      </c>
    </row>
    <row r="48" spans="1:7" x14ac:dyDescent="0.25">
      <c r="A48" s="179" t="s">
        <v>3335</v>
      </c>
      <c r="B48" s="176">
        <v>633273</v>
      </c>
      <c r="C48" s="177">
        <f t="shared" si="1"/>
        <v>0</v>
      </c>
      <c r="D48" s="176">
        <v>633273</v>
      </c>
      <c r="E48" s="176">
        <v>617320.6</v>
      </c>
      <c r="F48" s="176">
        <v>617320.6</v>
      </c>
      <c r="G48" s="178">
        <f t="shared" si="2"/>
        <v>15952.400000000023</v>
      </c>
    </row>
    <row r="49" spans="1:7" x14ac:dyDescent="0.25">
      <c r="A49" s="179" t="s">
        <v>3336</v>
      </c>
      <c r="B49" s="176">
        <v>1011360</v>
      </c>
      <c r="C49" s="177">
        <f t="shared" si="1"/>
        <v>-727864.94</v>
      </c>
      <c r="D49" s="176">
        <v>283495.06</v>
      </c>
      <c r="E49" s="176">
        <v>0</v>
      </c>
      <c r="F49" s="176">
        <v>0</v>
      </c>
      <c r="G49" s="178">
        <f t="shared" si="2"/>
        <v>283495.06</v>
      </c>
    </row>
    <row r="50" spans="1:7" x14ac:dyDescent="0.25">
      <c r="A50" s="179" t="s">
        <v>3337</v>
      </c>
      <c r="B50" s="176">
        <v>43441</v>
      </c>
      <c r="C50" s="177">
        <f t="shared" si="1"/>
        <v>-40320.97</v>
      </c>
      <c r="D50" s="176">
        <v>3120.03</v>
      </c>
      <c r="E50" s="176">
        <v>0</v>
      </c>
      <c r="F50" s="176">
        <v>0</v>
      </c>
      <c r="G50" s="178">
        <f t="shared" si="2"/>
        <v>3120.03</v>
      </c>
    </row>
    <row r="51" spans="1:7" x14ac:dyDescent="0.25">
      <c r="A51" s="179" t="s">
        <v>3338</v>
      </c>
      <c r="B51" s="176">
        <v>250707</v>
      </c>
      <c r="C51" s="177">
        <f t="shared" si="1"/>
        <v>-148022.71000000002</v>
      </c>
      <c r="D51" s="176">
        <v>102684.29</v>
      </c>
      <c r="E51" s="176">
        <v>0</v>
      </c>
      <c r="F51" s="176">
        <v>0</v>
      </c>
      <c r="G51" s="178">
        <f t="shared" si="2"/>
        <v>102684.29</v>
      </c>
    </row>
    <row r="52" spans="1:7" x14ac:dyDescent="0.25">
      <c r="A52" s="179" t="s">
        <v>3339</v>
      </c>
      <c r="B52" s="176">
        <v>96338</v>
      </c>
      <c r="C52" s="177">
        <f t="shared" si="1"/>
        <v>-95857</v>
      </c>
      <c r="D52" s="176">
        <v>481</v>
      </c>
      <c r="E52" s="176">
        <v>481</v>
      </c>
      <c r="F52" s="176">
        <v>481</v>
      </c>
      <c r="G52" s="178">
        <f t="shared" si="2"/>
        <v>0</v>
      </c>
    </row>
    <row r="53" spans="1:7" x14ac:dyDescent="0.25">
      <c r="A53" s="179" t="s">
        <v>3340</v>
      </c>
      <c r="B53" s="176">
        <v>977627</v>
      </c>
      <c r="C53" s="177">
        <f t="shared" si="1"/>
        <v>-32050</v>
      </c>
      <c r="D53" s="176">
        <v>945577</v>
      </c>
      <c r="E53" s="176">
        <v>895154.4</v>
      </c>
      <c r="F53" s="176">
        <v>895154.4</v>
      </c>
      <c r="G53" s="178">
        <f t="shared" si="2"/>
        <v>50422.599999999977</v>
      </c>
    </row>
    <row r="54" spans="1:7" x14ac:dyDescent="0.25">
      <c r="A54" s="179" t="s">
        <v>3341</v>
      </c>
      <c r="B54" s="176">
        <v>249807</v>
      </c>
      <c r="C54" s="177">
        <f t="shared" si="1"/>
        <v>7000</v>
      </c>
      <c r="D54" s="176">
        <v>256807</v>
      </c>
      <c r="E54" s="176">
        <v>233570.84</v>
      </c>
      <c r="F54" s="176">
        <v>233570.84</v>
      </c>
      <c r="G54" s="178">
        <f t="shared" si="2"/>
        <v>23236.160000000003</v>
      </c>
    </row>
    <row r="55" spans="1:7" x14ac:dyDescent="0.25">
      <c r="A55" s="179" t="s">
        <v>3342</v>
      </c>
      <c r="B55" s="176">
        <v>2276000</v>
      </c>
      <c r="C55" s="177">
        <f t="shared" si="1"/>
        <v>0</v>
      </c>
      <c r="D55" s="176">
        <v>2276000</v>
      </c>
      <c r="E55" s="176">
        <v>2161415.65</v>
      </c>
      <c r="F55" s="176">
        <v>2158435.66</v>
      </c>
      <c r="G55" s="178">
        <f t="shared" si="2"/>
        <v>114584.35000000009</v>
      </c>
    </row>
    <row r="56" spans="1:7" x14ac:dyDescent="0.25">
      <c r="A56" s="179" t="s">
        <v>3343</v>
      </c>
      <c r="B56" s="176">
        <v>3528398</v>
      </c>
      <c r="C56" s="177">
        <f t="shared" si="1"/>
        <v>-62000</v>
      </c>
      <c r="D56" s="176">
        <v>3466398</v>
      </c>
      <c r="E56" s="176">
        <v>3436722.6</v>
      </c>
      <c r="F56" s="176">
        <v>3436722.6</v>
      </c>
      <c r="G56" s="178">
        <f t="shared" si="2"/>
        <v>29675.399999999907</v>
      </c>
    </row>
    <row r="57" spans="1:7" x14ac:dyDescent="0.25">
      <c r="A57" s="179" t="s">
        <v>3344</v>
      </c>
      <c r="B57" s="176">
        <v>500028</v>
      </c>
      <c r="C57" s="177">
        <f t="shared" si="1"/>
        <v>3000</v>
      </c>
      <c r="D57" s="176">
        <v>503028</v>
      </c>
      <c r="E57" s="176">
        <v>500109.17</v>
      </c>
      <c r="F57" s="176">
        <v>500109.17</v>
      </c>
      <c r="G57" s="178">
        <f t="shared" si="2"/>
        <v>2918.8300000000163</v>
      </c>
    </row>
    <row r="58" spans="1:7" x14ac:dyDescent="0.25">
      <c r="A58" s="179" t="s">
        <v>3345</v>
      </c>
      <c r="B58" s="176">
        <v>269084</v>
      </c>
      <c r="C58" s="177">
        <f t="shared" si="1"/>
        <v>-25000</v>
      </c>
      <c r="D58" s="176">
        <v>244084</v>
      </c>
      <c r="E58" s="176">
        <v>238119.44</v>
      </c>
      <c r="F58" s="176">
        <v>238119.44</v>
      </c>
      <c r="G58" s="178">
        <f t="shared" si="2"/>
        <v>5964.5599999999977</v>
      </c>
    </row>
    <row r="59" spans="1:7" x14ac:dyDescent="0.25">
      <c r="A59" s="179" t="s">
        <v>3346</v>
      </c>
      <c r="B59" s="176">
        <v>11934322</v>
      </c>
      <c r="C59" s="177">
        <f t="shared" si="1"/>
        <v>228662.65000000037</v>
      </c>
      <c r="D59" s="176">
        <v>12162984.65</v>
      </c>
      <c r="E59" s="176">
        <v>11258632.18</v>
      </c>
      <c r="F59" s="176">
        <v>10692019.4</v>
      </c>
      <c r="G59" s="178">
        <f t="shared" si="2"/>
        <v>904352.47000000067</v>
      </c>
    </row>
    <row r="60" spans="1:7" x14ac:dyDescent="0.25">
      <c r="A60" s="179" t="s">
        <v>3347</v>
      </c>
      <c r="B60" s="176">
        <v>1075172</v>
      </c>
      <c r="C60" s="177">
        <f t="shared" si="1"/>
        <v>22454</v>
      </c>
      <c r="D60" s="176">
        <v>1097626</v>
      </c>
      <c r="E60" s="176">
        <v>1093469.47</v>
      </c>
      <c r="F60" s="176">
        <v>1093469.47</v>
      </c>
      <c r="G60" s="178">
        <f t="shared" si="2"/>
        <v>4156.5300000000279</v>
      </c>
    </row>
    <row r="61" spans="1:7" x14ac:dyDescent="0.25">
      <c r="A61" s="179" t="s">
        <v>3348</v>
      </c>
      <c r="B61" s="176">
        <v>10267002</v>
      </c>
      <c r="C61" s="177">
        <f t="shared" si="1"/>
        <v>1025463</v>
      </c>
      <c r="D61" s="176">
        <v>11292465</v>
      </c>
      <c r="E61" s="176">
        <v>9511450.9100000001</v>
      </c>
      <c r="F61" s="176">
        <v>9484957.6699999999</v>
      </c>
      <c r="G61" s="178">
        <f t="shared" si="2"/>
        <v>1781014.0899999999</v>
      </c>
    </row>
    <row r="62" spans="1:7" x14ac:dyDescent="0.25">
      <c r="A62" s="179" t="s">
        <v>3349</v>
      </c>
      <c r="B62" s="176">
        <v>1268766</v>
      </c>
      <c r="C62" s="177">
        <f t="shared" si="1"/>
        <v>0</v>
      </c>
      <c r="D62" s="176">
        <v>1268766</v>
      </c>
      <c r="E62" s="176">
        <v>1218914.49</v>
      </c>
      <c r="F62" s="176">
        <v>1211294.6299999999</v>
      </c>
      <c r="G62" s="178">
        <f t="shared" si="2"/>
        <v>49851.510000000009</v>
      </c>
    </row>
    <row r="63" spans="1:7" x14ac:dyDescent="0.25">
      <c r="A63" s="179" t="s">
        <v>3350</v>
      </c>
      <c r="B63" s="176">
        <v>2394789</v>
      </c>
      <c r="C63" s="177">
        <f t="shared" si="1"/>
        <v>92813</v>
      </c>
      <c r="D63" s="176">
        <v>2487602</v>
      </c>
      <c r="E63" s="176">
        <v>2374954.29</v>
      </c>
      <c r="F63" s="176">
        <v>2374954.29</v>
      </c>
      <c r="G63" s="178">
        <f t="shared" si="2"/>
        <v>112647.70999999996</v>
      </c>
    </row>
    <row r="64" spans="1:7" x14ac:dyDescent="0.25">
      <c r="A64" s="179" t="s">
        <v>3351</v>
      </c>
      <c r="B64" s="176">
        <v>605000</v>
      </c>
      <c r="C64" s="177">
        <f t="shared" si="1"/>
        <v>30820</v>
      </c>
      <c r="D64" s="176">
        <v>635820</v>
      </c>
      <c r="E64" s="176">
        <v>631349.02</v>
      </c>
      <c r="F64" s="176">
        <v>602499.02</v>
      </c>
      <c r="G64" s="178">
        <f t="shared" si="2"/>
        <v>4470.9799999999814</v>
      </c>
    </row>
    <row r="65" spans="1:7" x14ac:dyDescent="0.25">
      <c r="A65" s="179" t="s">
        <v>3352</v>
      </c>
      <c r="B65" s="176">
        <v>96776</v>
      </c>
      <c r="C65" s="177">
        <f t="shared" si="1"/>
        <v>0</v>
      </c>
      <c r="D65" s="176">
        <v>96776</v>
      </c>
      <c r="E65" s="176">
        <v>96506.89</v>
      </c>
      <c r="F65" s="176">
        <v>96506.89</v>
      </c>
      <c r="G65" s="178">
        <f t="shared" si="2"/>
        <v>269.11000000000058</v>
      </c>
    </row>
    <row r="66" spans="1:7" x14ac:dyDescent="0.25">
      <c r="A66" s="179" t="s">
        <v>3353</v>
      </c>
      <c r="B66" s="176">
        <v>461633</v>
      </c>
      <c r="C66" s="177">
        <f t="shared" si="1"/>
        <v>150000</v>
      </c>
      <c r="D66" s="176">
        <v>611633</v>
      </c>
      <c r="E66" s="176">
        <v>586020.14</v>
      </c>
      <c r="F66" s="176">
        <v>586020.14</v>
      </c>
      <c r="G66" s="178">
        <f t="shared" si="2"/>
        <v>25612.859999999986</v>
      </c>
    </row>
    <row r="67" spans="1:7" x14ac:dyDescent="0.25">
      <c r="A67" s="179" t="s">
        <v>3354</v>
      </c>
      <c r="B67" s="176">
        <v>1270482</v>
      </c>
      <c r="C67" s="177">
        <f t="shared" si="1"/>
        <v>1741</v>
      </c>
      <c r="D67" s="176">
        <v>1272223</v>
      </c>
      <c r="E67" s="176">
        <v>1252405.98</v>
      </c>
      <c r="F67" s="176">
        <v>1252405.98</v>
      </c>
      <c r="G67" s="178">
        <f t="shared" si="2"/>
        <v>19817.020000000019</v>
      </c>
    </row>
    <row r="68" spans="1:7" x14ac:dyDescent="0.25">
      <c r="A68" s="179" t="s">
        <v>3355</v>
      </c>
      <c r="B68" s="176">
        <v>95000</v>
      </c>
      <c r="C68" s="177">
        <f t="shared" si="1"/>
        <v>6000</v>
      </c>
      <c r="D68" s="176">
        <v>101000</v>
      </c>
      <c r="E68" s="176">
        <v>91349.28</v>
      </c>
      <c r="F68" s="176">
        <v>87752.29</v>
      </c>
      <c r="G68" s="178">
        <f t="shared" si="2"/>
        <v>9650.7200000000012</v>
      </c>
    </row>
    <row r="69" spans="1:7" x14ac:dyDescent="0.25">
      <c r="A69" s="179" t="s">
        <v>3356</v>
      </c>
      <c r="B69" s="176">
        <v>439327</v>
      </c>
      <c r="C69" s="177">
        <f t="shared" si="1"/>
        <v>37301.599999999977</v>
      </c>
      <c r="D69" s="176">
        <v>476628.6</v>
      </c>
      <c r="E69" s="176">
        <v>450852.03</v>
      </c>
      <c r="F69" s="176">
        <v>450852.03</v>
      </c>
      <c r="G69" s="178">
        <f t="shared" si="2"/>
        <v>25776.569999999949</v>
      </c>
    </row>
    <row r="70" spans="1:7" x14ac:dyDescent="0.25">
      <c r="A70" s="179" t="s">
        <v>3357</v>
      </c>
      <c r="B70" s="176">
        <v>0</v>
      </c>
      <c r="C70" s="177">
        <f t="shared" si="1"/>
        <v>0</v>
      </c>
      <c r="D70" s="176">
        <v>0</v>
      </c>
      <c r="E70" s="176">
        <v>0</v>
      </c>
      <c r="F70" s="176">
        <v>0</v>
      </c>
      <c r="G70" s="178">
        <f t="shared" si="2"/>
        <v>0</v>
      </c>
    </row>
    <row r="71" spans="1:7" x14ac:dyDescent="0.25">
      <c r="A71" s="179" t="s">
        <v>3358</v>
      </c>
      <c r="B71" s="176">
        <v>0</v>
      </c>
      <c r="C71" s="177">
        <f t="shared" si="1"/>
        <v>0</v>
      </c>
      <c r="D71" s="176">
        <v>0</v>
      </c>
      <c r="E71" s="176">
        <v>0</v>
      </c>
      <c r="F71" s="176">
        <v>0</v>
      </c>
      <c r="G71" s="178">
        <f t="shared" si="2"/>
        <v>0</v>
      </c>
    </row>
    <row r="72" spans="1:7" x14ac:dyDescent="0.25">
      <c r="A72" s="179" t="s">
        <v>3359</v>
      </c>
      <c r="B72" s="176">
        <v>0</v>
      </c>
      <c r="C72" s="177">
        <f t="shared" si="1"/>
        <v>0</v>
      </c>
      <c r="D72" s="176">
        <v>0</v>
      </c>
      <c r="E72" s="176">
        <v>0</v>
      </c>
      <c r="F72" s="176">
        <v>0</v>
      </c>
      <c r="G72" s="178">
        <f t="shared" si="2"/>
        <v>0</v>
      </c>
    </row>
    <row r="73" spans="1:7" x14ac:dyDescent="0.25">
      <c r="A73" s="179" t="s">
        <v>3360</v>
      </c>
      <c r="B73" s="176">
        <v>0</v>
      </c>
      <c r="C73" s="177">
        <f t="shared" si="1"/>
        <v>0</v>
      </c>
      <c r="D73" s="176">
        <v>0</v>
      </c>
      <c r="E73" s="176">
        <v>0</v>
      </c>
      <c r="F73" s="176">
        <v>0</v>
      </c>
      <c r="G73" s="178">
        <f t="shared" si="2"/>
        <v>0</v>
      </c>
    </row>
    <row r="74" spans="1:7" x14ac:dyDescent="0.25">
      <c r="A74" s="179" t="s">
        <v>3361</v>
      </c>
      <c r="B74" s="176">
        <v>0</v>
      </c>
      <c r="C74" s="177">
        <f t="shared" si="1"/>
        <v>0</v>
      </c>
      <c r="D74" s="176">
        <v>0</v>
      </c>
      <c r="E74" s="176">
        <v>0</v>
      </c>
      <c r="F74" s="176">
        <v>0</v>
      </c>
      <c r="G74" s="178">
        <f t="shared" si="2"/>
        <v>0</v>
      </c>
    </row>
    <row r="75" spans="1:7" x14ac:dyDescent="0.25">
      <c r="A75" s="68" t="s">
        <v>678</v>
      </c>
      <c r="B75" s="52"/>
      <c r="C75" s="52"/>
      <c r="D75" s="52"/>
      <c r="E75" s="52"/>
      <c r="F75" s="52"/>
      <c r="G75" s="52"/>
    </row>
    <row r="76" spans="1:7" s="23" customFormat="1" x14ac:dyDescent="0.25">
      <c r="A76" s="53" t="s">
        <v>433</v>
      </c>
      <c r="B76" s="139">
        <f>SUM(B77:B100)</f>
        <v>438604834.11999995</v>
      </c>
      <c r="C76" s="139">
        <f t="shared" ref="C76:G76" si="3">SUM(C77:C100)</f>
        <v>-58390518.320000038</v>
      </c>
      <c r="D76" s="139">
        <f t="shared" si="3"/>
        <v>380214315.80000001</v>
      </c>
      <c r="E76" s="139">
        <f t="shared" si="3"/>
        <v>179716442.10999995</v>
      </c>
      <c r="F76" s="139">
        <f t="shared" si="3"/>
        <v>153665595.99999997</v>
      </c>
      <c r="G76" s="139">
        <f t="shared" si="3"/>
        <v>200497873.68999994</v>
      </c>
    </row>
    <row r="77" spans="1:7" s="23" customFormat="1" x14ac:dyDescent="0.25">
      <c r="A77" s="180" t="s">
        <v>3301</v>
      </c>
      <c r="B77" s="176">
        <v>0</v>
      </c>
      <c r="C77" s="177">
        <f>D77-B77</f>
        <v>5000000</v>
      </c>
      <c r="D77" s="176">
        <v>5000000</v>
      </c>
      <c r="E77" s="176">
        <v>5000000</v>
      </c>
      <c r="F77" s="176">
        <v>0</v>
      </c>
      <c r="G77" s="162">
        <f t="shared" ref="G77:G100" si="4">D77-E77</f>
        <v>0</v>
      </c>
    </row>
    <row r="78" spans="1:7" s="23" customFormat="1" x14ac:dyDescent="0.25">
      <c r="A78" s="180" t="s">
        <v>3310</v>
      </c>
      <c r="B78" s="176">
        <v>17431730.59</v>
      </c>
      <c r="C78" s="177">
        <f t="shared" ref="C78:C100" si="5">D78-B78</f>
        <v>1699035.2600000016</v>
      </c>
      <c r="D78" s="176">
        <v>19130765.850000001</v>
      </c>
      <c r="E78" s="176">
        <v>19039965.75</v>
      </c>
      <c r="F78" s="176">
        <v>17461244.199999999</v>
      </c>
      <c r="G78" s="162">
        <f t="shared" si="4"/>
        <v>90800.10000000149</v>
      </c>
    </row>
    <row r="79" spans="1:7" s="23" customFormat="1" x14ac:dyDescent="0.25">
      <c r="A79" s="180" t="s">
        <v>3321</v>
      </c>
      <c r="B79" s="176">
        <v>334666210.86000001</v>
      </c>
      <c r="C79" s="177">
        <f t="shared" si="5"/>
        <v>-63028482.650000036</v>
      </c>
      <c r="D79" s="176">
        <v>271637728.20999998</v>
      </c>
      <c r="E79" s="176">
        <v>74159055.540000007</v>
      </c>
      <c r="F79" s="176">
        <v>68743766.150000006</v>
      </c>
      <c r="G79" s="162">
        <f t="shared" si="4"/>
        <v>197478672.66999996</v>
      </c>
    </row>
    <row r="80" spans="1:7" s="23" customFormat="1" x14ac:dyDescent="0.25">
      <c r="A80" s="180" t="s">
        <v>3324</v>
      </c>
      <c r="B80" s="176">
        <v>0</v>
      </c>
      <c r="C80" s="177">
        <f t="shared" si="5"/>
        <v>74005</v>
      </c>
      <c r="D80" s="176">
        <v>74005</v>
      </c>
      <c r="E80" s="176">
        <v>57788.35</v>
      </c>
      <c r="F80" s="176">
        <v>54540.35</v>
      </c>
      <c r="G80" s="162">
        <f t="shared" si="4"/>
        <v>16216.650000000001</v>
      </c>
    </row>
    <row r="81" spans="1:7" s="23" customFormat="1" x14ac:dyDescent="0.25">
      <c r="A81" s="180" t="s">
        <v>3325</v>
      </c>
      <c r="B81" s="176">
        <v>2625235</v>
      </c>
      <c r="C81" s="177">
        <f t="shared" si="5"/>
        <v>1168894</v>
      </c>
      <c r="D81" s="176">
        <v>3794129</v>
      </c>
      <c r="E81" s="176">
        <v>3687729.58</v>
      </c>
      <c r="F81" s="176">
        <v>3486976.66</v>
      </c>
      <c r="G81" s="162">
        <f t="shared" si="4"/>
        <v>106399.41999999993</v>
      </c>
    </row>
    <row r="82" spans="1:7" s="23" customFormat="1" x14ac:dyDescent="0.25">
      <c r="A82" s="180" t="s">
        <v>3326</v>
      </c>
      <c r="B82" s="176">
        <v>0</v>
      </c>
      <c r="C82" s="177">
        <f t="shared" si="5"/>
        <v>6705140</v>
      </c>
      <c r="D82" s="176">
        <v>6705140</v>
      </c>
      <c r="E82" s="176">
        <v>6684685.7199999997</v>
      </c>
      <c r="F82" s="176">
        <v>1685784.75</v>
      </c>
      <c r="G82" s="162">
        <f t="shared" si="4"/>
        <v>20454.280000000261</v>
      </c>
    </row>
    <row r="83" spans="1:7" s="23" customFormat="1" x14ac:dyDescent="0.25">
      <c r="A83" s="180" t="s">
        <v>3327</v>
      </c>
      <c r="B83" s="176">
        <v>0</v>
      </c>
      <c r="C83" s="177">
        <f t="shared" si="5"/>
        <v>141165</v>
      </c>
      <c r="D83" s="176">
        <v>141165</v>
      </c>
      <c r="E83" s="176">
        <v>114934.32</v>
      </c>
      <c r="F83" s="176">
        <v>111034.5</v>
      </c>
      <c r="G83" s="162">
        <f t="shared" si="4"/>
        <v>26230.679999999993</v>
      </c>
    </row>
    <row r="84" spans="1:7" s="23" customFormat="1" x14ac:dyDescent="0.25">
      <c r="A84" s="180" t="s">
        <v>3328</v>
      </c>
      <c r="B84" s="176">
        <v>0</v>
      </c>
      <c r="C84" s="177">
        <f t="shared" si="5"/>
        <v>366076</v>
      </c>
      <c r="D84" s="176">
        <v>366076</v>
      </c>
      <c r="E84" s="176">
        <v>281053.43</v>
      </c>
      <c r="F84" s="176">
        <v>122969.79</v>
      </c>
      <c r="G84" s="162">
        <f t="shared" si="4"/>
        <v>85022.57</v>
      </c>
    </row>
    <row r="85" spans="1:7" s="23" customFormat="1" x14ac:dyDescent="0.25">
      <c r="A85" s="180" t="s">
        <v>3329</v>
      </c>
      <c r="B85" s="176">
        <v>0</v>
      </c>
      <c r="C85" s="177">
        <f t="shared" si="5"/>
        <v>158199.4</v>
      </c>
      <c r="D85" s="176">
        <v>158199.4</v>
      </c>
      <c r="E85" s="176">
        <v>131806.68</v>
      </c>
      <c r="F85" s="176">
        <v>122828.28</v>
      </c>
      <c r="G85" s="162">
        <f t="shared" si="4"/>
        <v>26392.720000000001</v>
      </c>
    </row>
    <row r="86" spans="1:7" s="23" customFormat="1" x14ac:dyDescent="0.25">
      <c r="A86" s="180" t="s">
        <v>3330</v>
      </c>
      <c r="B86" s="176">
        <v>0</v>
      </c>
      <c r="C86" s="177">
        <f t="shared" si="5"/>
        <v>360711.8</v>
      </c>
      <c r="D86" s="176">
        <v>360711.8</v>
      </c>
      <c r="E86" s="176">
        <v>352403.05</v>
      </c>
      <c r="F86" s="176">
        <v>327031.3</v>
      </c>
      <c r="G86" s="162">
        <f t="shared" si="4"/>
        <v>8308.75</v>
      </c>
    </row>
    <row r="87" spans="1:7" s="23" customFormat="1" x14ac:dyDescent="0.25">
      <c r="A87" s="180" t="s">
        <v>3331</v>
      </c>
      <c r="B87" s="176">
        <v>13360421.4</v>
      </c>
      <c r="C87" s="177">
        <f t="shared" si="5"/>
        <v>-675105.13000000082</v>
      </c>
      <c r="D87" s="176">
        <v>12685316.27</v>
      </c>
      <c r="E87" s="176">
        <v>11905070.130000001</v>
      </c>
      <c r="F87" s="176">
        <v>5926883.71</v>
      </c>
      <c r="G87" s="162">
        <f t="shared" si="4"/>
        <v>780246.13999999873</v>
      </c>
    </row>
    <row r="88" spans="1:7" s="23" customFormat="1" x14ac:dyDescent="0.25">
      <c r="A88" s="180" t="s">
        <v>3335</v>
      </c>
      <c r="B88" s="176">
        <v>200000</v>
      </c>
      <c r="C88" s="177">
        <f t="shared" si="5"/>
        <v>0</v>
      </c>
      <c r="D88" s="176">
        <v>200000</v>
      </c>
      <c r="E88" s="176">
        <v>199667.94</v>
      </c>
      <c r="F88" s="176">
        <v>85667.94</v>
      </c>
      <c r="G88" s="162">
        <f t="shared" si="4"/>
        <v>332.05999999999767</v>
      </c>
    </row>
    <row r="89" spans="1:7" s="23" customFormat="1" x14ac:dyDescent="0.25">
      <c r="A89" s="180" t="s">
        <v>3336</v>
      </c>
      <c r="B89" s="176">
        <v>58550408.369999997</v>
      </c>
      <c r="C89" s="177">
        <f t="shared" si="5"/>
        <v>-49868526.699999996</v>
      </c>
      <c r="D89" s="176">
        <v>8681881.6699999999</v>
      </c>
      <c r="E89" s="176">
        <v>8681881.6699999999</v>
      </c>
      <c r="F89" s="176">
        <v>8681881.6699999999</v>
      </c>
      <c r="G89" s="162">
        <f t="shared" si="4"/>
        <v>0</v>
      </c>
    </row>
    <row r="90" spans="1:7" s="23" customFormat="1" x14ac:dyDescent="0.25">
      <c r="A90" s="180" t="s">
        <v>3342</v>
      </c>
      <c r="B90" s="176">
        <v>259999.7</v>
      </c>
      <c r="C90" s="177">
        <f t="shared" si="5"/>
        <v>-259999.7</v>
      </c>
      <c r="D90" s="176">
        <v>0</v>
      </c>
      <c r="E90" s="176">
        <v>0</v>
      </c>
      <c r="F90" s="176">
        <v>0</v>
      </c>
      <c r="G90" s="162">
        <f t="shared" si="4"/>
        <v>0</v>
      </c>
    </row>
    <row r="91" spans="1:7" s="23" customFormat="1" x14ac:dyDescent="0.25">
      <c r="A91" s="180" t="s">
        <v>3346</v>
      </c>
      <c r="B91" s="176">
        <v>11063338</v>
      </c>
      <c r="C91" s="177">
        <f t="shared" si="5"/>
        <v>1355146.0600000005</v>
      </c>
      <c r="D91" s="176">
        <v>12418484.060000001</v>
      </c>
      <c r="E91" s="176">
        <v>12202688.57</v>
      </c>
      <c r="F91" s="176">
        <v>11748061.5</v>
      </c>
      <c r="G91" s="162">
        <f t="shared" si="4"/>
        <v>215795.49000000022</v>
      </c>
    </row>
    <row r="92" spans="1:7" s="23" customFormat="1" x14ac:dyDescent="0.25">
      <c r="A92" s="180" t="s">
        <v>3349</v>
      </c>
      <c r="B92" s="176">
        <v>0</v>
      </c>
      <c r="C92" s="177">
        <f t="shared" si="5"/>
        <v>434782</v>
      </c>
      <c r="D92" s="176">
        <v>434782</v>
      </c>
      <c r="E92" s="176">
        <v>0</v>
      </c>
      <c r="F92" s="176">
        <v>0</v>
      </c>
      <c r="G92" s="162">
        <f t="shared" si="4"/>
        <v>434782</v>
      </c>
    </row>
    <row r="93" spans="1:7" s="23" customFormat="1" x14ac:dyDescent="0.25">
      <c r="A93" s="180" t="s">
        <v>3353</v>
      </c>
      <c r="B93" s="176">
        <v>0</v>
      </c>
      <c r="C93" s="177">
        <f t="shared" si="5"/>
        <v>150000</v>
      </c>
      <c r="D93" s="176">
        <v>150000</v>
      </c>
      <c r="E93" s="176">
        <v>0</v>
      </c>
      <c r="F93" s="176">
        <v>0</v>
      </c>
      <c r="G93" s="162">
        <f t="shared" si="4"/>
        <v>150000</v>
      </c>
    </row>
    <row r="94" spans="1:7" s="23" customFormat="1" x14ac:dyDescent="0.25">
      <c r="A94" s="180" t="s">
        <v>3355</v>
      </c>
      <c r="B94" s="176">
        <v>20000</v>
      </c>
      <c r="C94" s="177">
        <f t="shared" si="5"/>
        <v>-20000</v>
      </c>
      <c r="D94" s="176">
        <v>0</v>
      </c>
      <c r="E94" s="176">
        <v>0</v>
      </c>
      <c r="F94" s="176">
        <v>0</v>
      </c>
      <c r="G94" s="162">
        <f t="shared" si="4"/>
        <v>0</v>
      </c>
    </row>
    <row r="95" spans="1:7" s="23" customFormat="1" x14ac:dyDescent="0.25">
      <c r="A95" s="180" t="s">
        <v>3356</v>
      </c>
      <c r="B95" s="176">
        <v>427490.2</v>
      </c>
      <c r="C95" s="177">
        <f t="shared" si="5"/>
        <v>386254.89999999997</v>
      </c>
      <c r="D95" s="176">
        <v>813745.1</v>
      </c>
      <c r="E95" s="176">
        <v>213745.1</v>
      </c>
      <c r="F95" s="176">
        <v>213745.1</v>
      </c>
      <c r="G95" s="162">
        <f t="shared" si="4"/>
        <v>600000</v>
      </c>
    </row>
    <row r="96" spans="1:7" s="23" customFormat="1" x14ac:dyDescent="0.25">
      <c r="A96" s="180" t="s">
        <v>3357</v>
      </c>
      <c r="B96" s="176">
        <v>0</v>
      </c>
      <c r="C96" s="177">
        <f t="shared" si="5"/>
        <v>30128294.440000001</v>
      </c>
      <c r="D96" s="176">
        <v>30128294.440000001</v>
      </c>
      <c r="E96" s="176">
        <v>29724603.350000001</v>
      </c>
      <c r="F96" s="176">
        <v>27640362.109999999</v>
      </c>
      <c r="G96" s="162">
        <f t="shared" si="4"/>
        <v>403691.08999999985</v>
      </c>
    </row>
    <row r="97" spans="1:7" s="23" customFormat="1" x14ac:dyDescent="0.25">
      <c r="A97" s="180" t="s">
        <v>3358</v>
      </c>
      <c r="B97" s="176">
        <v>0</v>
      </c>
      <c r="C97" s="177">
        <f t="shared" si="5"/>
        <v>871685.61</v>
      </c>
      <c r="D97" s="176">
        <v>871685.61</v>
      </c>
      <c r="E97" s="176">
        <v>852472.44</v>
      </c>
      <c r="F97" s="176">
        <v>852472.44</v>
      </c>
      <c r="G97" s="162">
        <f t="shared" si="4"/>
        <v>19213.170000000042</v>
      </c>
    </row>
    <row r="98" spans="1:7" s="23" customFormat="1" x14ac:dyDescent="0.25">
      <c r="A98" s="180" t="s">
        <v>3359</v>
      </c>
      <c r="B98" s="176">
        <v>0</v>
      </c>
      <c r="C98" s="177">
        <f t="shared" si="5"/>
        <v>5291003.57</v>
      </c>
      <c r="D98" s="176">
        <v>5291003.57</v>
      </c>
      <c r="E98" s="176">
        <v>5279053.2300000004</v>
      </c>
      <c r="F98" s="176">
        <v>5272967.29</v>
      </c>
      <c r="G98" s="162">
        <f t="shared" si="4"/>
        <v>11950.339999999851</v>
      </c>
    </row>
    <row r="99" spans="1:7" s="23" customFormat="1" x14ac:dyDescent="0.25">
      <c r="A99" s="180" t="s">
        <v>3360</v>
      </c>
      <c r="B99" s="176">
        <v>0</v>
      </c>
      <c r="C99" s="177">
        <f t="shared" si="5"/>
        <v>317439.82</v>
      </c>
      <c r="D99" s="176">
        <v>317439.82</v>
      </c>
      <c r="E99" s="176">
        <v>302622.45</v>
      </c>
      <c r="F99" s="176">
        <v>299162.45</v>
      </c>
      <c r="G99" s="162">
        <f t="shared" si="4"/>
        <v>14817.369999999995</v>
      </c>
    </row>
    <row r="100" spans="1:7" s="23" customFormat="1" x14ac:dyDescent="0.25">
      <c r="A100" s="180" t="s">
        <v>3361</v>
      </c>
      <c r="B100" s="176">
        <v>0</v>
      </c>
      <c r="C100" s="177">
        <f t="shared" si="5"/>
        <v>853763</v>
      </c>
      <c r="D100" s="176">
        <v>853763</v>
      </c>
      <c r="E100" s="176">
        <v>845214.81</v>
      </c>
      <c r="F100" s="176">
        <v>828215.81</v>
      </c>
      <c r="G100" s="162">
        <f t="shared" si="4"/>
        <v>8548.1899999999441</v>
      </c>
    </row>
    <row r="101" spans="1:7" x14ac:dyDescent="0.25">
      <c r="A101" s="68" t="s">
        <v>678</v>
      </c>
      <c r="B101" s="52"/>
      <c r="C101" s="52"/>
      <c r="D101" s="52"/>
      <c r="E101" s="52"/>
      <c r="F101" s="52"/>
      <c r="G101" s="52"/>
    </row>
    <row r="102" spans="1:7" x14ac:dyDescent="0.25">
      <c r="A102" s="53" t="s">
        <v>360</v>
      </c>
      <c r="B102" s="59">
        <f>GASTO_NE_T1+GASTO_E_T1</f>
        <v>622253800.18999994</v>
      </c>
      <c r="C102" s="59">
        <f>GASTO_NE_T2+GASTO_E_T2</f>
        <v>-34115764.630000032</v>
      </c>
      <c r="D102" s="59">
        <f>GASTO_NE_T3+GASTO_E_T3</f>
        <v>588138035.56000006</v>
      </c>
      <c r="E102" s="59">
        <f>GASTO_NE_T4+GASTO_E_T4</f>
        <v>343445506.46999997</v>
      </c>
      <c r="F102" s="59">
        <f>GASTO_NE_T5+GASTO_E_T5</f>
        <v>310697991.75999993</v>
      </c>
      <c r="G102" s="59">
        <f>GASTO_NE_T6+GASTO_E_T6</f>
        <v>244692529.08999994</v>
      </c>
    </row>
    <row r="103" spans="1:7" x14ac:dyDescent="0.25">
      <c r="A103" s="56"/>
      <c r="B103" s="63"/>
      <c r="C103" s="63"/>
      <c r="D103" s="63"/>
      <c r="E103" s="63"/>
      <c r="F103" s="63"/>
      <c r="G103" s="69"/>
    </row>
    <row r="104" spans="1:7" hidden="1" x14ac:dyDescent="0.25">
      <c r="A104" s="11"/>
    </row>
    <row r="105" spans="1:7" x14ac:dyDescent="0.25"/>
    <row r="106" spans="1:7" x14ac:dyDescent="0.25"/>
    <row r="107" spans="1:7" x14ac:dyDescent="0.25"/>
    <row r="108" spans="1:7" x14ac:dyDescent="0.25"/>
    <row r="109" spans="1:7" x14ac:dyDescent="0.25"/>
    <row r="110" spans="1:7" x14ac:dyDescent="0.25"/>
    <row r="111" spans="1:7" x14ac:dyDescent="0.25"/>
    <row r="112" spans="1: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</sheetData>
  <sheetProtection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102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183648966.07000002</v>
      </c>
      <c r="Q2" s="18">
        <f>GASTO_NE_T2</f>
        <v>24274753.690000005</v>
      </c>
      <c r="R2" s="18">
        <f>GASTO_NE_T3</f>
        <v>207923719.76000002</v>
      </c>
      <c r="S2" s="18">
        <f>GASTO_NE_T4</f>
        <v>163729064.36000001</v>
      </c>
      <c r="T2" s="18">
        <f>GASTO_NE_T5</f>
        <v>157032395.75999996</v>
      </c>
      <c r="U2" s="18">
        <f>GASTO_NE_T6</f>
        <v>44194655.399999999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438604834.11999995</v>
      </c>
      <c r="Q3" s="18">
        <f>GASTO_E_T2</f>
        <v>-58390518.320000038</v>
      </c>
      <c r="R3" s="18">
        <f>GASTO_E_T3</f>
        <v>380214315.80000001</v>
      </c>
      <c r="S3" s="18">
        <f>GASTO_E_T4</f>
        <v>179716442.10999995</v>
      </c>
      <c r="T3" s="18">
        <f>GASTO_E_T5</f>
        <v>153665595.99999997</v>
      </c>
      <c r="U3" s="18">
        <f>GASTO_E_T6</f>
        <v>200497873.68999994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622253800.18999994</v>
      </c>
      <c r="Q4" s="18">
        <f>TOTAL_E_T2</f>
        <v>-34115764.630000032</v>
      </c>
      <c r="R4" s="18">
        <f>TOTAL_E_T3</f>
        <v>588138035.56000006</v>
      </c>
      <c r="S4" s="18">
        <f>TOTAL_E_T4</f>
        <v>343445506.46999997</v>
      </c>
      <c r="T4" s="18">
        <f>TOTAL_E_T5</f>
        <v>310697991.75999993</v>
      </c>
      <c r="U4" s="18">
        <f>TOTAL_E_T6</f>
        <v>244692529.08999994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XFD104857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10" t="s">
        <v>3281</v>
      </c>
      <c r="B1" s="211"/>
      <c r="C1" s="211"/>
      <c r="D1" s="211"/>
      <c r="E1" s="211"/>
      <c r="F1" s="211"/>
      <c r="G1" s="211"/>
    </row>
    <row r="2" spans="1:7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6"/>
      <c r="G2" s="187"/>
    </row>
    <row r="3" spans="1:7" x14ac:dyDescent="0.25">
      <c r="A3" s="188" t="s">
        <v>396</v>
      </c>
      <c r="B3" s="189"/>
      <c r="C3" s="189"/>
      <c r="D3" s="189"/>
      <c r="E3" s="189"/>
      <c r="F3" s="189"/>
      <c r="G3" s="190"/>
    </row>
    <row r="4" spans="1:7" x14ac:dyDescent="0.25">
      <c r="A4" s="188" t="s">
        <v>397</v>
      </c>
      <c r="B4" s="189"/>
      <c r="C4" s="189"/>
      <c r="D4" s="189"/>
      <c r="E4" s="189"/>
      <c r="F4" s="189"/>
      <c r="G4" s="190"/>
    </row>
    <row r="5" spans="1:7" x14ac:dyDescent="0.25">
      <c r="A5" s="191" t="str">
        <f>TRIMESTRE</f>
        <v>Del 1 de enero al 31 de diciembre de 2017 (b)</v>
      </c>
      <c r="B5" s="192"/>
      <c r="C5" s="192"/>
      <c r="D5" s="192"/>
      <c r="E5" s="192"/>
      <c r="F5" s="192"/>
      <c r="G5" s="193"/>
    </row>
    <row r="6" spans="1:7" x14ac:dyDescent="0.25">
      <c r="A6" s="194" t="s">
        <v>118</v>
      </c>
      <c r="B6" s="195"/>
      <c r="C6" s="195"/>
      <c r="D6" s="195"/>
      <c r="E6" s="195"/>
      <c r="F6" s="195"/>
      <c r="G6" s="196"/>
    </row>
    <row r="7" spans="1:7" x14ac:dyDescent="0.25">
      <c r="A7" s="189" t="s">
        <v>0</v>
      </c>
      <c r="B7" s="194" t="s">
        <v>279</v>
      </c>
      <c r="C7" s="195"/>
      <c r="D7" s="195"/>
      <c r="E7" s="195"/>
      <c r="F7" s="196"/>
      <c r="G7" s="206" t="s">
        <v>3278</v>
      </c>
    </row>
    <row r="8" spans="1:7" ht="30.75" customHeight="1" x14ac:dyDescent="0.25">
      <c r="A8" s="189"/>
      <c r="B8" s="44" t="s">
        <v>281</v>
      </c>
      <c r="C8" s="43" t="s">
        <v>362</v>
      </c>
      <c r="D8" s="44" t="s">
        <v>283</v>
      </c>
      <c r="E8" s="44" t="s">
        <v>167</v>
      </c>
      <c r="F8" s="45" t="s">
        <v>185</v>
      </c>
      <c r="G8" s="205"/>
    </row>
    <row r="9" spans="1:7" x14ac:dyDescent="0.25">
      <c r="A9" s="50" t="s">
        <v>363</v>
      </c>
      <c r="B9" s="154">
        <f t="shared" ref="B9:G9" si="0">SUM(B10,B19,B27,B37)</f>
        <v>183648966.07000002</v>
      </c>
      <c r="C9" s="154">
        <f t="shared" si="0"/>
        <v>24274753.689999994</v>
      </c>
      <c r="D9" s="154">
        <f t="shared" si="0"/>
        <v>207923719.75999996</v>
      </c>
      <c r="E9" s="154">
        <f t="shared" si="0"/>
        <v>163729064.36000001</v>
      </c>
      <c r="F9" s="154">
        <f t="shared" si="0"/>
        <v>157032395.76000002</v>
      </c>
      <c r="G9" s="154">
        <f t="shared" si="0"/>
        <v>44194655.399999991</v>
      </c>
    </row>
    <row r="10" spans="1:7" x14ac:dyDescent="0.25">
      <c r="A10" s="51" t="s">
        <v>364</v>
      </c>
      <c r="B10" s="153">
        <f t="shared" ref="B10:G10" si="1">SUM(B11:B18)</f>
        <v>96722189.460000008</v>
      </c>
      <c r="C10" s="153">
        <f t="shared" si="1"/>
        <v>4726859.1899999995</v>
      </c>
      <c r="D10" s="153">
        <f t="shared" si="1"/>
        <v>101449048.64999999</v>
      </c>
      <c r="E10" s="153">
        <f t="shared" si="1"/>
        <v>90926035.670000002</v>
      </c>
      <c r="F10" s="153">
        <f t="shared" si="1"/>
        <v>89871506.850000009</v>
      </c>
      <c r="G10" s="153">
        <f t="shared" si="1"/>
        <v>10523012.979999999</v>
      </c>
    </row>
    <row r="11" spans="1:7" x14ac:dyDescent="0.25">
      <c r="A11" s="61" t="s">
        <v>365</v>
      </c>
      <c r="B11" s="136">
        <v>12113929.550000001</v>
      </c>
      <c r="C11" s="136">
        <v>266436</v>
      </c>
      <c r="D11" s="136">
        <f>B11+C11</f>
        <v>12380365.550000001</v>
      </c>
      <c r="E11" s="136">
        <v>12248355.189999999</v>
      </c>
      <c r="F11" s="136">
        <v>12230155.699999999</v>
      </c>
      <c r="G11" s="136">
        <f>D11-E11</f>
        <v>132010.36000000127</v>
      </c>
    </row>
    <row r="12" spans="1:7" x14ac:dyDescent="0.25">
      <c r="A12" s="61" t="s">
        <v>366</v>
      </c>
      <c r="B12" s="136">
        <v>429098</v>
      </c>
      <c r="C12" s="136">
        <v>0</v>
      </c>
      <c r="D12" s="136">
        <f t="shared" ref="D12:D18" si="2">B12+C12</f>
        <v>429098</v>
      </c>
      <c r="E12" s="136">
        <v>410479.46</v>
      </c>
      <c r="F12" s="136">
        <v>410479.46</v>
      </c>
      <c r="G12" s="136">
        <f t="shared" ref="G12:G18" si="3">D12-E12</f>
        <v>18618.539999999979</v>
      </c>
    </row>
    <row r="13" spans="1:7" x14ac:dyDescent="0.25">
      <c r="A13" s="61" t="s">
        <v>367</v>
      </c>
      <c r="B13" s="136">
        <v>28415104.199999999</v>
      </c>
      <c r="C13" s="136">
        <v>-169526.48</v>
      </c>
      <c r="D13" s="136">
        <f t="shared" si="2"/>
        <v>28245577.719999999</v>
      </c>
      <c r="E13" s="136">
        <v>24930727.48</v>
      </c>
      <c r="F13" s="136">
        <v>24364114.699999999</v>
      </c>
      <c r="G13" s="136">
        <f t="shared" si="3"/>
        <v>3314850.2399999984</v>
      </c>
    </row>
    <row r="14" spans="1:7" x14ac:dyDescent="0.25">
      <c r="A14" s="61" t="s">
        <v>368</v>
      </c>
      <c r="B14" s="136">
        <v>0</v>
      </c>
      <c r="C14" s="136">
        <v>0</v>
      </c>
      <c r="D14" s="136">
        <f t="shared" si="2"/>
        <v>0</v>
      </c>
      <c r="E14" s="136">
        <v>0</v>
      </c>
      <c r="F14" s="136">
        <v>0</v>
      </c>
      <c r="G14" s="136">
        <f t="shared" si="3"/>
        <v>0</v>
      </c>
    </row>
    <row r="15" spans="1:7" x14ac:dyDescent="0.25">
      <c r="A15" s="61" t="s">
        <v>369</v>
      </c>
      <c r="B15" s="136">
        <v>39284978.710000001</v>
      </c>
      <c r="C15" s="136">
        <v>2832216.29</v>
      </c>
      <c r="D15" s="136">
        <f t="shared" si="2"/>
        <v>42117195</v>
      </c>
      <c r="E15" s="136">
        <v>36348668.850000001</v>
      </c>
      <c r="F15" s="136">
        <v>35905445.539999999</v>
      </c>
      <c r="G15" s="136">
        <f t="shared" si="3"/>
        <v>5768526.1499999985</v>
      </c>
    </row>
    <row r="16" spans="1:7" x14ac:dyDescent="0.25">
      <c r="A16" s="61" t="s">
        <v>370</v>
      </c>
      <c r="B16" s="136">
        <v>0</v>
      </c>
      <c r="C16" s="136">
        <v>0</v>
      </c>
      <c r="D16" s="136">
        <f t="shared" si="2"/>
        <v>0</v>
      </c>
      <c r="E16" s="136">
        <v>0</v>
      </c>
      <c r="F16" s="136">
        <v>0</v>
      </c>
      <c r="G16" s="136">
        <f t="shared" si="3"/>
        <v>0</v>
      </c>
    </row>
    <row r="17" spans="1:7" x14ac:dyDescent="0.25">
      <c r="A17" s="61" t="s">
        <v>371</v>
      </c>
      <c r="B17" s="136">
        <v>1557846</v>
      </c>
      <c r="C17" s="136">
        <v>-1012065.62</v>
      </c>
      <c r="D17" s="136">
        <f t="shared" si="2"/>
        <v>545780.38</v>
      </c>
      <c r="E17" s="136">
        <v>100481</v>
      </c>
      <c r="F17" s="136">
        <v>100481</v>
      </c>
      <c r="G17" s="136">
        <f t="shared" si="3"/>
        <v>445299.38</v>
      </c>
    </row>
    <row r="18" spans="1:7" x14ac:dyDescent="0.25">
      <c r="A18" s="61" t="s">
        <v>372</v>
      </c>
      <c r="B18" s="136">
        <v>14921233</v>
      </c>
      <c r="C18" s="136">
        <v>2809799</v>
      </c>
      <c r="D18" s="136">
        <f t="shared" si="2"/>
        <v>17731032</v>
      </c>
      <c r="E18" s="136">
        <v>16887323.690000001</v>
      </c>
      <c r="F18" s="136">
        <v>16860830.449999999</v>
      </c>
      <c r="G18" s="136">
        <f t="shared" si="3"/>
        <v>843708.30999999866</v>
      </c>
    </row>
    <row r="19" spans="1:7" x14ac:dyDescent="0.25">
      <c r="A19" s="51" t="s">
        <v>373</v>
      </c>
      <c r="B19" s="153">
        <f t="shared" ref="B19:G19" si="4">SUM(B20:B26)</f>
        <v>80971214.510000005</v>
      </c>
      <c r="C19" s="153">
        <f t="shared" si="4"/>
        <v>17208964.939999998</v>
      </c>
      <c r="D19" s="153">
        <f t="shared" si="4"/>
        <v>98180179.449999988</v>
      </c>
      <c r="E19" s="153">
        <f t="shared" si="4"/>
        <v>65475218.070000008</v>
      </c>
      <c r="F19" s="153">
        <f t="shared" si="4"/>
        <v>59924578.290000014</v>
      </c>
      <c r="G19" s="153">
        <f t="shared" si="4"/>
        <v>32704961.379999995</v>
      </c>
    </row>
    <row r="20" spans="1:7" x14ac:dyDescent="0.25">
      <c r="A20" s="61" t="s">
        <v>374</v>
      </c>
      <c r="B20" s="136">
        <v>8177145</v>
      </c>
      <c r="C20" s="136">
        <v>958074.86</v>
      </c>
      <c r="D20" s="136">
        <f>B20+C20</f>
        <v>9135219.8599999994</v>
      </c>
      <c r="E20" s="136">
        <v>8200400.8399999999</v>
      </c>
      <c r="F20" s="136">
        <v>8200400.8399999999</v>
      </c>
      <c r="G20" s="136">
        <f t="shared" ref="G20:G26" si="5">D20-E20</f>
        <v>934819.01999999955</v>
      </c>
    </row>
    <row r="21" spans="1:7" x14ac:dyDescent="0.25">
      <c r="A21" s="61" t="s">
        <v>375</v>
      </c>
      <c r="B21" s="136">
        <v>56298516.350000001</v>
      </c>
      <c r="C21" s="136">
        <v>13334903.25</v>
      </c>
      <c r="D21" s="136">
        <f t="shared" ref="D21:D26" si="6">B21+C21</f>
        <v>69633419.599999994</v>
      </c>
      <c r="E21" s="136">
        <v>40093211.280000001</v>
      </c>
      <c r="F21" s="136">
        <v>34660596.810000002</v>
      </c>
      <c r="G21" s="136">
        <f t="shared" si="5"/>
        <v>29540208.319999993</v>
      </c>
    </row>
    <row r="22" spans="1:7" x14ac:dyDescent="0.25">
      <c r="A22" s="61" t="s">
        <v>376</v>
      </c>
      <c r="B22" s="136">
        <v>391653</v>
      </c>
      <c r="C22" s="136">
        <v>60000</v>
      </c>
      <c r="D22" s="136">
        <f t="shared" si="6"/>
        <v>451653</v>
      </c>
      <c r="E22" s="136">
        <v>412410.99</v>
      </c>
      <c r="F22" s="136">
        <v>367410.99</v>
      </c>
      <c r="G22" s="136">
        <f t="shared" si="5"/>
        <v>39242.010000000009</v>
      </c>
    </row>
    <row r="23" spans="1:7" x14ac:dyDescent="0.25">
      <c r="A23" s="61" t="s">
        <v>377</v>
      </c>
      <c r="B23" s="136">
        <v>8289029.1600000001</v>
      </c>
      <c r="C23" s="136">
        <v>877507.78</v>
      </c>
      <c r="D23" s="136">
        <f t="shared" si="6"/>
        <v>9166536.9399999995</v>
      </c>
      <c r="E23" s="136">
        <v>8161517.9800000004</v>
      </c>
      <c r="F23" s="136">
        <v>8121451.1299999999</v>
      </c>
      <c r="G23" s="136">
        <f t="shared" si="5"/>
        <v>1005018.959999999</v>
      </c>
    </row>
    <row r="24" spans="1:7" x14ac:dyDescent="0.25">
      <c r="A24" s="61" t="s">
        <v>378</v>
      </c>
      <c r="B24" s="136">
        <v>3528398</v>
      </c>
      <c r="C24" s="136">
        <v>1142000</v>
      </c>
      <c r="D24" s="136">
        <f t="shared" si="6"/>
        <v>4670398</v>
      </c>
      <c r="E24" s="136">
        <v>3436722.6</v>
      </c>
      <c r="F24" s="136">
        <v>3436722.6</v>
      </c>
      <c r="G24" s="136">
        <f t="shared" si="5"/>
        <v>1233675.3999999999</v>
      </c>
    </row>
    <row r="25" spans="1:7" x14ac:dyDescent="0.25">
      <c r="A25" s="61" t="s">
        <v>379</v>
      </c>
      <c r="B25" s="136">
        <v>4286473</v>
      </c>
      <c r="C25" s="136">
        <v>836479.05</v>
      </c>
      <c r="D25" s="136">
        <f t="shared" si="6"/>
        <v>5122952.05</v>
      </c>
      <c r="E25" s="136">
        <v>5170954.38</v>
      </c>
      <c r="F25" s="136">
        <v>5137995.92</v>
      </c>
      <c r="G25" s="136">
        <f t="shared" si="5"/>
        <v>-48002.330000000075</v>
      </c>
    </row>
    <row r="26" spans="1:7" x14ac:dyDescent="0.25">
      <c r="A26" s="61" t="s">
        <v>380</v>
      </c>
      <c r="B26" s="136">
        <v>0</v>
      </c>
      <c r="C26" s="136">
        <v>0</v>
      </c>
      <c r="D26" s="136">
        <f t="shared" si="6"/>
        <v>0</v>
      </c>
      <c r="E26" s="136">
        <v>0</v>
      </c>
      <c r="F26" s="136">
        <v>0</v>
      </c>
      <c r="G26" s="136">
        <f t="shared" si="5"/>
        <v>0</v>
      </c>
    </row>
    <row r="27" spans="1:7" x14ac:dyDescent="0.25">
      <c r="A27" s="51" t="s">
        <v>381</v>
      </c>
      <c r="B27" s="153">
        <f t="shared" ref="B27:G27" si="7">SUM(B28:B36)</f>
        <v>5955562.0999999996</v>
      </c>
      <c r="C27" s="153">
        <f t="shared" si="7"/>
        <v>2338929.56</v>
      </c>
      <c r="D27" s="153">
        <f t="shared" si="7"/>
        <v>8294491.6600000001</v>
      </c>
      <c r="E27" s="153">
        <f t="shared" si="7"/>
        <v>7327810.6200000001</v>
      </c>
      <c r="F27" s="153">
        <f t="shared" si="7"/>
        <v>7236310.6200000001</v>
      </c>
      <c r="G27" s="153">
        <f t="shared" si="7"/>
        <v>966681.03999999922</v>
      </c>
    </row>
    <row r="28" spans="1:7" x14ac:dyDescent="0.25">
      <c r="A28" s="65" t="s">
        <v>382</v>
      </c>
      <c r="B28" s="136">
        <v>4674138</v>
      </c>
      <c r="C28" s="136">
        <v>-5172.3999999999996</v>
      </c>
      <c r="D28" s="136">
        <f>B28+C28</f>
        <v>4668965.5999999996</v>
      </c>
      <c r="E28" s="136">
        <v>4473365.4800000004</v>
      </c>
      <c r="F28" s="136">
        <v>4473365.4800000004</v>
      </c>
      <c r="G28" s="136">
        <f t="shared" ref="G28:G36" si="8">D28-E28</f>
        <v>195600.11999999918</v>
      </c>
    </row>
    <row r="29" spans="1:7" x14ac:dyDescent="0.25">
      <c r="A29" s="61" t="s">
        <v>383</v>
      </c>
      <c r="B29" s="136">
        <v>819791.1</v>
      </c>
      <c r="C29" s="136">
        <v>2194101.96</v>
      </c>
      <c r="D29" s="136">
        <f t="shared" ref="D29:D36" si="9">B29+C29</f>
        <v>3013893.06</v>
      </c>
      <c r="E29" s="136">
        <v>2268425</v>
      </c>
      <c r="F29" s="136">
        <v>2176925</v>
      </c>
      <c r="G29" s="136">
        <f t="shared" si="8"/>
        <v>745468.06</v>
      </c>
    </row>
    <row r="30" spans="1:7" x14ac:dyDescent="0.25">
      <c r="A30" s="61" t="s">
        <v>384</v>
      </c>
      <c r="B30" s="136">
        <v>0</v>
      </c>
      <c r="C30" s="136">
        <v>0</v>
      </c>
      <c r="D30" s="136">
        <f t="shared" si="9"/>
        <v>0</v>
      </c>
      <c r="E30" s="136">
        <v>0</v>
      </c>
      <c r="F30" s="136">
        <v>0</v>
      </c>
      <c r="G30" s="136">
        <f t="shared" si="8"/>
        <v>0</v>
      </c>
    </row>
    <row r="31" spans="1:7" x14ac:dyDescent="0.25">
      <c r="A31" s="61" t="s">
        <v>385</v>
      </c>
      <c r="B31" s="136">
        <v>0</v>
      </c>
      <c r="C31" s="136">
        <v>0</v>
      </c>
      <c r="D31" s="136">
        <f t="shared" si="9"/>
        <v>0</v>
      </c>
      <c r="E31" s="136">
        <v>0</v>
      </c>
      <c r="F31" s="136">
        <v>0</v>
      </c>
      <c r="G31" s="136">
        <f t="shared" si="8"/>
        <v>0</v>
      </c>
    </row>
    <row r="32" spans="1:7" x14ac:dyDescent="0.25">
      <c r="A32" s="61" t="s">
        <v>386</v>
      </c>
      <c r="B32" s="136">
        <v>0</v>
      </c>
      <c r="C32" s="136">
        <v>0</v>
      </c>
      <c r="D32" s="136">
        <f t="shared" si="9"/>
        <v>0</v>
      </c>
      <c r="E32" s="136">
        <v>0</v>
      </c>
      <c r="F32" s="136">
        <v>0</v>
      </c>
      <c r="G32" s="136">
        <f t="shared" si="8"/>
        <v>0</v>
      </c>
    </row>
    <row r="33" spans="1:7" x14ac:dyDescent="0.25">
      <c r="A33" s="61" t="s">
        <v>387</v>
      </c>
      <c r="B33" s="136">
        <v>0</v>
      </c>
      <c r="C33" s="136">
        <v>0</v>
      </c>
      <c r="D33" s="136">
        <f t="shared" si="9"/>
        <v>0</v>
      </c>
      <c r="E33" s="136">
        <v>0</v>
      </c>
      <c r="F33" s="136">
        <v>0</v>
      </c>
      <c r="G33" s="136">
        <f t="shared" si="8"/>
        <v>0</v>
      </c>
    </row>
    <row r="34" spans="1:7" x14ac:dyDescent="0.25">
      <c r="A34" s="61" t="s">
        <v>388</v>
      </c>
      <c r="B34" s="136">
        <v>461633</v>
      </c>
      <c r="C34" s="136">
        <v>150000</v>
      </c>
      <c r="D34" s="136">
        <f t="shared" si="9"/>
        <v>611633</v>
      </c>
      <c r="E34" s="136">
        <v>586020.14</v>
      </c>
      <c r="F34" s="136">
        <v>586020.14</v>
      </c>
      <c r="G34" s="136">
        <f t="shared" si="8"/>
        <v>25612.859999999986</v>
      </c>
    </row>
    <row r="35" spans="1:7" x14ac:dyDescent="0.25">
      <c r="A35" s="61" t="s">
        <v>389</v>
      </c>
      <c r="B35" s="136">
        <v>0</v>
      </c>
      <c r="C35" s="136">
        <v>0</v>
      </c>
      <c r="D35" s="136">
        <f t="shared" si="9"/>
        <v>0</v>
      </c>
      <c r="E35" s="136">
        <v>0</v>
      </c>
      <c r="F35" s="136">
        <v>0</v>
      </c>
      <c r="G35" s="136">
        <f t="shared" si="8"/>
        <v>0</v>
      </c>
    </row>
    <row r="36" spans="1:7" x14ac:dyDescent="0.25">
      <c r="A36" s="61" t="s">
        <v>390</v>
      </c>
      <c r="B36" s="136">
        <v>0</v>
      </c>
      <c r="C36" s="136">
        <v>0</v>
      </c>
      <c r="D36" s="136">
        <f t="shared" si="9"/>
        <v>0</v>
      </c>
      <c r="E36" s="136">
        <v>0</v>
      </c>
      <c r="F36" s="136">
        <v>0</v>
      </c>
      <c r="G36" s="136">
        <f t="shared" si="8"/>
        <v>0</v>
      </c>
    </row>
    <row r="37" spans="1:7" ht="30" x14ac:dyDescent="0.25">
      <c r="A37" s="62" t="s">
        <v>398</v>
      </c>
      <c r="B37" s="153">
        <f t="shared" ref="B37:G37" si="10">SUM(B38:B41)</f>
        <v>0</v>
      </c>
      <c r="C37" s="153">
        <f t="shared" si="10"/>
        <v>0</v>
      </c>
      <c r="D37" s="153">
        <f t="shared" si="10"/>
        <v>0</v>
      </c>
      <c r="E37" s="153">
        <f t="shared" si="10"/>
        <v>0</v>
      </c>
      <c r="F37" s="153">
        <f t="shared" si="10"/>
        <v>0</v>
      </c>
      <c r="G37" s="153">
        <f t="shared" si="10"/>
        <v>0</v>
      </c>
    </row>
    <row r="38" spans="1:7" x14ac:dyDescent="0.25">
      <c r="A38" s="65" t="s">
        <v>391</v>
      </c>
      <c r="B38" s="136">
        <v>0</v>
      </c>
      <c r="C38" s="136">
        <v>0</v>
      </c>
      <c r="D38" s="136">
        <f>B38+C38</f>
        <v>0</v>
      </c>
      <c r="E38" s="136">
        <v>0</v>
      </c>
      <c r="F38" s="136">
        <v>0</v>
      </c>
      <c r="G38" s="136">
        <f t="shared" ref="G38:G41" si="11">D38-E38</f>
        <v>0</v>
      </c>
    </row>
    <row r="39" spans="1:7" ht="30" x14ac:dyDescent="0.25">
      <c r="A39" s="65" t="s">
        <v>392</v>
      </c>
      <c r="B39" s="136">
        <v>0</v>
      </c>
      <c r="C39" s="136">
        <v>0</v>
      </c>
      <c r="D39" s="136">
        <f t="shared" ref="D39:D41" si="12">B39+C39</f>
        <v>0</v>
      </c>
      <c r="E39" s="136">
        <v>0</v>
      </c>
      <c r="F39" s="136">
        <v>0</v>
      </c>
      <c r="G39" s="136">
        <f t="shared" si="11"/>
        <v>0</v>
      </c>
    </row>
    <row r="40" spans="1:7" x14ac:dyDescent="0.25">
      <c r="A40" s="65" t="s">
        <v>393</v>
      </c>
      <c r="B40" s="136">
        <v>0</v>
      </c>
      <c r="C40" s="136">
        <v>0</v>
      </c>
      <c r="D40" s="136">
        <f t="shared" si="12"/>
        <v>0</v>
      </c>
      <c r="E40" s="136">
        <v>0</v>
      </c>
      <c r="F40" s="136">
        <v>0</v>
      </c>
      <c r="G40" s="136">
        <f t="shared" si="11"/>
        <v>0</v>
      </c>
    </row>
    <row r="41" spans="1:7" x14ac:dyDescent="0.25">
      <c r="A41" s="65" t="s">
        <v>394</v>
      </c>
      <c r="B41" s="136">
        <v>0</v>
      </c>
      <c r="C41" s="136">
        <v>0</v>
      </c>
      <c r="D41" s="136">
        <f t="shared" si="12"/>
        <v>0</v>
      </c>
      <c r="E41" s="136">
        <v>0</v>
      </c>
      <c r="F41" s="136">
        <v>0</v>
      </c>
      <c r="G41" s="136">
        <f t="shared" si="11"/>
        <v>0</v>
      </c>
    </row>
    <row r="42" spans="1:7" x14ac:dyDescent="0.25">
      <c r="A42" s="65"/>
      <c r="B42" s="66"/>
      <c r="C42" s="66"/>
      <c r="D42" s="66"/>
      <c r="E42" s="66"/>
      <c r="F42" s="66"/>
      <c r="G42" s="66"/>
    </row>
    <row r="43" spans="1:7" x14ac:dyDescent="0.25">
      <c r="A43" s="53" t="s">
        <v>395</v>
      </c>
      <c r="B43" s="155">
        <f t="shared" ref="B43:G43" si="13">SUM(B44,B53,B61,B71)</f>
        <v>438604834.12000006</v>
      </c>
      <c r="C43" s="155">
        <f t="shared" si="13"/>
        <v>-58390518.319999993</v>
      </c>
      <c r="D43" s="155">
        <f t="shared" si="13"/>
        <v>380214315.80000001</v>
      </c>
      <c r="E43" s="155">
        <f t="shared" si="13"/>
        <v>179716442.11000001</v>
      </c>
      <c r="F43" s="155">
        <f t="shared" si="13"/>
        <v>153665596</v>
      </c>
      <c r="G43" s="155">
        <f t="shared" si="13"/>
        <v>200497873.69</v>
      </c>
    </row>
    <row r="44" spans="1:7" x14ac:dyDescent="0.25">
      <c r="A44" s="51" t="s">
        <v>430</v>
      </c>
      <c r="B44" s="157">
        <f t="shared" ref="B44:G44" si="14">SUM(B45:B52)</f>
        <v>82400012.530000001</v>
      </c>
      <c r="C44" s="157">
        <f t="shared" si="14"/>
        <v>-6163175.1499999994</v>
      </c>
      <c r="D44" s="157">
        <f t="shared" si="14"/>
        <v>76236837.379999995</v>
      </c>
      <c r="E44" s="157">
        <f t="shared" si="14"/>
        <v>74404162.810000002</v>
      </c>
      <c r="F44" s="157">
        <f t="shared" si="14"/>
        <v>70098285.230000004</v>
      </c>
      <c r="G44" s="157">
        <f t="shared" si="14"/>
        <v>1832674.5699999966</v>
      </c>
    </row>
    <row r="45" spans="1:7" x14ac:dyDescent="0.25">
      <c r="A45" s="65" t="s">
        <v>365</v>
      </c>
      <c r="B45" s="136">
        <v>0</v>
      </c>
      <c r="C45" s="136">
        <v>0</v>
      </c>
      <c r="D45" s="136">
        <f>B45+C45</f>
        <v>0</v>
      </c>
      <c r="E45" s="136">
        <v>0</v>
      </c>
      <c r="F45" s="136">
        <v>0</v>
      </c>
      <c r="G45" s="136">
        <f t="shared" ref="G45:G52" si="15">D45-E45</f>
        <v>0</v>
      </c>
    </row>
    <row r="46" spans="1:7" x14ac:dyDescent="0.25">
      <c r="A46" s="65" t="s">
        <v>366</v>
      </c>
      <c r="B46" s="136">
        <v>0</v>
      </c>
      <c r="C46" s="136">
        <v>0</v>
      </c>
      <c r="D46" s="136">
        <f t="shared" ref="D46:D52" si="16">B46+C46</f>
        <v>0</v>
      </c>
      <c r="E46" s="136">
        <v>0</v>
      </c>
      <c r="F46" s="136">
        <v>0</v>
      </c>
      <c r="G46" s="136">
        <f t="shared" si="15"/>
        <v>0</v>
      </c>
    </row>
    <row r="47" spans="1:7" x14ac:dyDescent="0.25">
      <c r="A47" s="65" t="s">
        <v>367</v>
      </c>
      <c r="B47" s="136">
        <v>13665531.48</v>
      </c>
      <c r="C47" s="136">
        <v>1230446.6100000001</v>
      </c>
      <c r="D47" s="136">
        <f t="shared" si="16"/>
        <v>14895978.09</v>
      </c>
      <c r="E47" s="136">
        <v>13561389.26</v>
      </c>
      <c r="F47" s="136">
        <v>12903856.27</v>
      </c>
      <c r="G47" s="136">
        <f t="shared" si="15"/>
        <v>1334588.83</v>
      </c>
    </row>
    <row r="48" spans="1:7" x14ac:dyDescent="0.25">
      <c r="A48" s="65" t="s">
        <v>368</v>
      </c>
      <c r="B48" s="136">
        <v>0</v>
      </c>
      <c r="C48" s="136">
        <v>0</v>
      </c>
      <c r="D48" s="136">
        <f t="shared" si="16"/>
        <v>0</v>
      </c>
      <c r="E48" s="136">
        <v>0</v>
      </c>
      <c r="F48" s="136">
        <v>0</v>
      </c>
      <c r="G48" s="136">
        <f t="shared" si="15"/>
        <v>0</v>
      </c>
    </row>
    <row r="49" spans="1:7" x14ac:dyDescent="0.25">
      <c r="A49" s="65" t="s">
        <v>369</v>
      </c>
      <c r="B49" s="136">
        <v>10184072.68</v>
      </c>
      <c r="C49" s="136">
        <v>5012718.5</v>
      </c>
      <c r="D49" s="136">
        <f t="shared" si="16"/>
        <v>15196791.18</v>
      </c>
      <c r="E49" s="136">
        <v>15156925.6</v>
      </c>
      <c r="F49" s="136">
        <v>13619367.189999999</v>
      </c>
      <c r="G49" s="136">
        <f t="shared" si="15"/>
        <v>39865.580000000075</v>
      </c>
    </row>
    <row r="50" spans="1:7" x14ac:dyDescent="0.25">
      <c r="A50" s="65" t="s">
        <v>370</v>
      </c>
      <c r="B50" s="136">
        <v>0</v>
      </c>
      <c r="C50" s="136">
        <v>0</v>
      </c>
      <c r="D50" s="136">
        <f t="shared" si="16"/>
        <v>0</v>
      </c>
      <c r="E50" s="136">
        <v>0</v>
      </c>
      <c r="F50" s="136">
        <v>0</v>
      </c>
      <c r="G50" s="136">
        <f t="shared" si="15"/>
        <v>0</v>
      </c>
    </row>
    <row r="51" spans="1:7" x14ac:dyDescent="0.25">
      <c r="A51" s="65" t="s">
        <v>371</v>
      </c>
      <c r="B51" s="136">
        <v>58550408.369999997</v>
      </c>
      <c r="C51" s="136">
        <v>-12406340.26</v>
      </c>
      <c r="D51" s="136">
        <f t="shared" si="16"/>
        <v>46144068.109999999</v>
      </c>
      <c r="E51" s="136">
        <v>45685847.950000003</v>
      </c>
      <c r="F51" s="136">
        <v>43575061.770000003</v>
      </c>
      <c r="G51" s="136">
        <f t="shared" si="15"/>
        <v>458220.15999999642</v>
      </c>
    </row>
    <row r="52" spans="1:7" x14ac:dyDescent="0.25">
      <c r="A52" s="65" t="s">
        <v>372</v>
      </c>
      <c r="B52" s="136">
        <v>0</v>
      </c>
      <c r="C52" s="136">
        <v>0</v>
      </c>
      <c r="D52" s="136">
        <f t="shared" si="16"/>
        <v>0</v>
      </c>
      <c r="E52" s="136">
        <v>0</v>
      </c>
      <c r="F52" s="136">
        <v>0</v>
      </c>
      <c r="G52" s="136">
        <f t="shared" si="15"/>
        <v>0</v>
      </c>
    </row>
    <row r="53" spans="1:7" x14ac:dyDescent="0.25">
      <c r="A53" s="51" t="s">
        <v>373</v>
      </c>
      <c r="B53" s="153">
        <f t="shared" ref="B53:G53" si="17">SUM(B54:B60)</f>
        <v>338025167.94000006</v>
      </c>
      <c r="C53" s="153">
        <f t="shared" si="17"/>
        <v>-54525109.179999992</v>
      </c>
      <c r="D53" s="153">
        <f t="shared" si="17"/>
        <v>283500058.75999999</v>
      </c>
      <c r="E53" s="153">
        <f t="shared" si="17"/>
        <v>96956262.810000002</v>
      </c>
      <c r="F53" s="153">
        <f t="shared" si="17"/>
        <v>75424794.280000001</v>
      </c>
      <c r="G53" s="153">
        <f t="shared" si="17"/>
        <v>186543795.95000002</v>
      </c>
    </row>
    <row r="54" spans="1:7" x14ac:dyDescent="0.25">
      <c r="A54" s="65" t="s">
        <v>374</v>
      </c>
      <c r="B54" s="136">
        <v>122133596.05</v>
      </c>
      <c r="C54" s="136">
        <v>-58510437.259999998</v>
      </c>
      <c r="D54" s="136">
        <f>B54+C54</f>
        <v>63623158.789999999</v>
      </c>
      <c r="E54" s="136">
        <v>29827814.050000001</v>
      </c>
      <c r="F54" s="136">
        <v>21657151.41</v>
      </c>
      <c r="G54" s="136">
        <f t="shared" ref="G54:G60" si="18">D54-E54</f>
        <v>33795344.739999995</v>
      </c>
    </row>
    <row r="55" spans="1:7" x14ac:dyDescent="0.25">
      <c r="A55" s="65" t="s">
        <v>375</v>
      </c>
      <c r="B55" s="136">
        <v>206143738.36000001</v>
      </c>
      <c r="C55" s="136">
        <v>-8483438.4000000004</v>
      </c>
      <c r="D55" s="136">
        <f t="shared" ref="D55:D60" si="19">B55+C55</f>
        <v>197660299.96000001</v>
      </c>
      <c r="E55" s="136">
        <v>57001756.850000001</v>
      </c>
      <c r="F55" s="136">
        <v>49307019.380000003</v>
      </c>
      <c r="G55" s="136">
        <f t="shared" si="18"/>
        <v>140658543.11000001</v>
      </c>
    </row>
    <row r="56" spans="1:7" x14ac:dyDescent="0.25">
      <c r="A56" s="65" t="s">
        <v>376</v>
      </c>
      <c r="B56" s="136">
        <v>100000</v>
      </c>
      <c r="C56" s="136">
        <v>0</v>
      </c>
      <c r="D56" s="136">
        <f t="shared" si="19"/>
        <v>100000</v>
      </c>
      <c r="E56" s="136">
        <v>82264</v>
      </c>
      <c r="F56" s="136">
        <v>61698</v>
      </c>
      <c r="G56" s="136">
        <f t="shared" si="18"/>
        <v>17736</v>
      </c>
    </row>
    <row r="57" spans="1:7" x14ac:dyDescent="0.25">
      <c r="A57" s="46" t="s">
        <v>377</v>
      </c>
      <c r="B57" s="136">
        <v>8556545.6699999999</v>
      </c>
      <c r="C57" s="136">
        <v>12444685.380000001</v>
      </c>
      <c r="D57" s="136">
        <f t="shared" si="19"/>
        <v>21001231.050000001</v>
      </c>
      <c r="E57" s="136">
        <v>9001578.1400000006</v>
      </c>
      <c r="F57" s="136">
        <v>3722551.72</v>
      </c>
      <c r="G57" s="136">
        <f t="shared" si="18"/>
        <v>11999652.91</v>
      </c>
    </row>
    <row r="58" spans="1:7" x14ac:dyDescent="0.25">
      <c r="A58" s="65" t="s">
        <v>378</v>
      </c>
      <c r="B58" s="136">
        <v>0</v>
      </c>
      <c r="C58" s="136">
        <v>618000</v>
      </c>
      <c r="D58" s="136">
        <f t="shared" si="19"/>
        <v>618000</v>
      </c>
      <c r="E58" s="136">
        <v>545812.87</v>
      </c>
      <c r="F58" s="136">
        <v>545812.87</v>
      </c>
      <c r="G58" s="136">
        <f t="shared" si="18"/>
        <v>72187.13</v>
      </c>
    </row>
    <row r="59" spans="1:7" x14ac:dyDescent="0.25">
      <c r="A59" s="65" t="s">
        <v>379</v>
      </c>
      <c r="B59" s="136">
        <v>891287.86</v>
      </c>
      <c r="C59" s="136">
        <v>-593918.9</v>
      </c>
      <c r="D59" s="136">
        <f t="shared" si="19"/>
        <v>297368.95999999996</v>
      </c>
      <c r="E59" s="136">
        <v>297368.96000000002</v>
      </c>
      <c r="F59" s="136">
        <v>44892.959999999999</v>
      </c>
      <c r="G59" s="136">
        <f t="shared" si="18"/>
        <v>0</v>
      </c>
    </row>
    <row r="60" spans="1:7" x14ac:dyDescent="0.25">
      <c r="A60" s="65" t="s">
        <v>380</v>
      </c>
      <c r="B60" s="136">
        <v>200000</v>
      </c>
      <c r="C60" s="136">
        <v>0</v>
      </c>
      <c r="D60" s="136">
        <f t="shared" si="19"/>
        <v>200000</v>
      </c>
      <c r="E60" s="136">
        <v>199667.94</v>
      </c>
      <c r="F60" s="136">
        <v>85667.94</v>
      </c>
      <c r="G60" s="136">
        <f t="shared" si="18"/>
        <v>332.05999999999767</v>
      </c>
    </row>
    <row r="61" spans="1:7" x14ac:dyDescent="0.25">
      <c r="A61" s="51" t="s">
        <v>381</v>
      </c>
      <c r="B61" s="153">
        <f t="shared" ref="B61:G61" si="20">SUM(B62:B70)</f>
        <v>8129468.0999999996</v>
      </c>
      <c r="C61" s="153">
        <f t="shared" si="20"/>
        <v>5613456.9000000004</v>
      </c>
      <c r="D61" s="153">
        <f t="shared" si="20"/>
        <v>13742925</v>
      </c>
      <c r="E61" s="153">
        <f t="shared" si="20"/>
        <v>2942925</v>
      </c>
      <c r="F61" s="153">
        <f t="shared" si="20"/>
        <v>2729425</v>
      </c>
      <c r="G61" s="153">
        <f t="shared" si="20"/>
        <v>10800000</v>
      </c>
    </row>
    <row r="62" spans="1:7" x14ac:dyDescent="0.25">
      <c r="A62" s="65" t="s">
        <v>382</v>
      </c>
      <c r="B62" s="136">
        <v>0</v>
      </c>
      <c r="C62" s="136">
        <v>0</v>
      </c>
      <c r="D62" s="136">
        <f>B62+C62</f>
        <v>0</v>
      </c>
      <c r="E62" s="136">
        <v>0</v>
      </c>
      <c r="F62" s="136">
        <v>0</v>
      </c>
      <c r="G62" s="136">
        <f t="shared" ref="G62:G70" si="21">D62-E62</f>
        <v>0</v>
      </c>
    </row>
    <row r="63" spans="1:7" x14ac:dyDescent="0.25">
      <c r="A63" s="65" t="s">
        <v>383</v>
      </c>
      <c r="B63" s="136">
        <v>1511468.1</v>
      </c>
      <c r="C63" s="136">
        <v>2081456.9</v>
      </c>
      <c r="D63" s="136">
        <f t="shared" ref="D63:D70" si="22">B63+C63</f>
        <v>3592925</v>
      </c>
      <c r="E63" s="136">
        <v>2942925</v>
      </c>
      <c r="F63" s="136">
        <v>2729425</v>
      </c>
      <c r="G63" s="136">
        <f t="shared" si="21"/>
        <v>650000</v>
      </c>
    </row>
    <row r="64" spans="1:7" x14ac:dyDescent="0.25">
      <c r="A64" s="65" t="s">
        <v>384</v>
      </c>
      <c r="B64" s="136">
        <v>0</v>
      </c>
      <c r="C64" s="136">
        <v>0</v>
      </c>
      <c r="D64" s="136">
        <f t="shared" si="22"/>
        <v>0</v>
      </c>
      <c r="E64" s="136">
        <v>0</v>
      </c>
      <c r="F64" s="136">
        <v>0</v>
      </c>
      <c r="G64" s="136">
        <f t="shared" si="21"/>
        <v>0</v>
      </c>
    </row>
    <row r="65" spans="1:8" x14ac:dyDescent="0.25">
      <c r="A65" s="65" t="s">
        <v>385</v>
      </c>
      <c r="B65" s="136">
        <v>0</v>
      </c>
      <c r="C65" s="136">
        <v>0</v>
      </c>
      <c r="D65" s="136">
        <f t="shared" si="22"/>
        <v>0</v>
      </c>
      <c r="E65" s="136">
        <v>0</v>
      </c>
      <c r="F65" s="136">
        <v>0</v>
      </c>
      <c r="G65" s="136">
        <f t="shared" si="21"/>
        <v>0</v>
      </c>
    </row>
    <row r="66" spans="1:8" x14ac:dyDescent="0.25">
      <c r="A66" s="65" t="s">
        <v>386</v>
      </c>
      <c r="B66" s="136">
        <v>6618000</v>
      </c>
      <c r="C66" s="136">
        <v>3382000</v>
      </c>
      <c r="D66" s="136">
        <f t="shared" si="22"/>
        <v>10000000</v>
      </c>
      <c r="E66" s="136">
        <v>0</v>
      </c>
      <c r="F66" s="136">
        <v>0</v>
      </c>
      <c r="G66" s="136">
        <f t="shared" si="21"/>
        <v>10000000</v>
      </c>
    </row>
    <row r="67" spans="1:8" x14ac:dyDescent="0.25">
      <c r="A67" s="65" t="s">
        <v>387</v>
      </c>
      <c r="B67" s="136">
        <v>0</v>
      </c>
      <c r="C67" s="136">
        <v>0</v>
      </c>
      <c r="D67" s="136">
        <f t="shared" si="22"/>
        <v>0</v>
      </c>
      <c r="E67" s="136">
        <v>0</v>
      </c>
      <c r="F67" s="136">
        <v>0</v>
      </c>
      <c r="G67" s="136">
        <f t="shared" si="21"/>
        <v>0</v>
      </c>
    </row>
    <row r="68" spans="1:8" x14ac:dyDescent="0.25">
      <c r="A68" s="65" t="s">
        <v>388</v>
      </c>
      <c r="B68" s="136">
        <v>0</v>
      </c>
      <c r="C68" s="136">
        <v>150000</v>
      </c>
      <c r="D68" s="136">
        <f t="shared" si="22"/>
        <v>150000</v>
      </c>
      <c r="E68" s="136">
        <v>0</v>
      </c>
      <c r="F68" s="136">
        <v>0</v>
      </c>
      <c r="G68" s="136">
        <f t="shared" si="21"/>
        <v>150000</v>
      </c>
    </row>
    <row r="69" spans="1:8" x14ac:dyDescent="0.25">
      <c r="A69" s="65" t="s">
        <v>389</v>
      </c>
      <c r="B69" s="136">
        <v>0</v>
      </c>
      <c r="C69" s="136">
        <v>0</v>
      </c>
      <c r="D69" s="136">
        <f t="shared" si="22"/>
        <v>0</v>
      </c>
      <c r="E69" s="136">
        <v>0</v>
      </c>
      <c r="F69" s="136">
        <v>0</v>
      </c>
      <c r="G69" s="136">
        <f t="shared" si="21"/>
        <v>0</v>
      </c>
    </row>
    <row r="70" spans="1:8" x14ac:dyDescent="0.25">
      <c r="A70" s="65" t="s">
        <v>390</v>
      </c>
      <c r="B70" s="136">
        <v>0</v>
      </c>
      <c r="C70" s="136">
        <v>0</v>
      </c>
      <c r="D70" s="136">
        <f t="shared" si="22"/>
        <v>0</v>
      </c>
      <c r="E70" s="136">
        <v>0</v>
      </c>
      <c r="F70" s="136">
        <v>0</v>
      </c>
      <c r="G70" s="136">
        <f t="shared" si="21"/>
        <v>0</v>
      </c>
    </row>
    <row r="71" spans="1:8" x14ac:dyDescent="0.25">
      <c r="A71" s="62" t="s">
        <v>3291</v>
      </c>
      <c r="B71" s="156">
        <f t="shared" ref="B71:G71" si="23">SUM(B72:B75)</f>
        <v>10050185.550000001</v>
      </c>
      <c r="C71" s="156">
        <f t="shared" si="23"/>
        <v>-3315690.89</v>
      </c>
      <c r="D71" s="156">
        <f t="shared" si="23"/>
        <v>6734494.6600000001</v>
      </c>
      <c r="E71" s="156">
        <f t="shared" si="23"/>
        <v>5413091.4900000002</v>
      </c>
      <c r="F71" s="156">
        <f t="shared" si="23"/>
        <v>5413091.4900000002</v>
      </c>
      <c r="G71" s="156">
        <f t="shared" si="23"/>
        <v>1321403.17</v>
      </c>
    </row>
    <row r="72" spans="1:8" x14ac:dyDescent="0.25">
      <c r="A72" s="65" t="s">
        <v>391</v>
      </c>
      <c r="B72" s="136">
        <v>10050185.550000001</v>
      </c>
      <c r="C72" s="136">
        <v>-3315690.89</v>
      </c>
      <c r="D72" s="136">
        <f>B72+C72</f>
        <v>6734494.6600000001</v>
      </c>
      <c r="E72" s="136">
        <v>5413091.4900000002</v>
      </c>
      <c r="F72" s="136">
        <v>5413091.4900000002</v>
      </c>
      <c r="G72" s="136">
        <f t="shared" ref="G72:G75" si="24">D72-E72</f>
        <v>1321403.17</v>
      </c>
    </row>
    <row r="73" spans="1:8" ht="30" x14ac:dyDescent="0.25">
      <c r="A73" s="65" t="s">
        <v>392</v>
      </c>
      <c r="B73" s="136">
        <v>0</v>
      </c>
      <c r="C73" s="136">
        <v>0</v>
      </c>
      <c r="D73" s="136">
        <f t="shared" ref="D73:D75" si="25">B73+C73</f>
        <v>0</v>
      </c>
      <c r="E73" s="136">
        <v>0</v>
      </c>
      <c r="F73" s="136">
        <v>0</v>
      </c>
      <c r="G73" s="136">
        <f t="shared" si="24"/>
        <v>0</v>
      </c>
    </row>
    <row r="74" spans="1:8" x14ac:dyDescent="0.25">
      <c r="A74" s="65" t="s">
        <v>393</v>
      </c>
      <c r="B74" s="136">
        <v>0</v>
      </c>
      <c r="C74" s="136">
        <v>0</v>
      </c>
      <c r="D74" s="136">
        <f t="shared" si="25"/>
        <v>0</v>
      </c>
      <c r="E74" s="136">
        <v>0</v>
      </c>
      <c r="F74" s="136">
        <v>0</v>
      </c>
      <c r="G74" s="136">
        <f t="shared" si="24"/>
        <v>0</v>
      </c>
    </row>
    <row r="75" spans="1:8" x14ac:dyDescent="0.25">
      <c r="A75" s="65" t="s">
        <v>394</v>
      </c>
      <c r="B75" s="136">
        <v>0</v>
      </c>
      <c r="C75" s="136">
        <v>0</v>
      </c>
      <c r="D75" s="136">
        <f t="shared" si="25"/>
        <v>0</v>
      </c>
      <c r="E75" s="136">
        <v>0</v>
      </c>
      <c r="F75" s="136">
        <v>0</v>
      </c>
      <c r="G75" s="136">
        <f t="shared" si="24"/>
        <v>0</v>
      </c>
    </row>
    <row r="76" spans="1:8" x14ac:dyDescent="0.25">
      <c r="A76" s="52"/>
      <c r="B76" s="67"/>
      <c r="C76" s="67"/>
      <c r="D76" s="67"/>
      <c r="E76" s="67"/>
      <c r="F76" s="67"/>
      <c r="G76" s="67"/>
    </row>
    <row r="77" spans="1:8" x14ac:dyDescent="0.25">
      <c r="A77" s="53" t="s">
        <v>360</v>
      </c>
      <c r="B77" s="155">
        <f t="shared" ref="B77:G77" si="26">B43+B9</f>
        <v>622253800.19000006</v>
      </c>
      <c r="C77" s="155">
        <f t="shared" si="26"/>
        <v>-34115764.629999995</v>
      </c>
      <c r="D77" s="155">
        <f t="shared" si="26"/>
        <v>588138035.55999994</v>
      </c>
      <c r="E77" s="155">
        <f t="shared" si="26"/>
        <v>343445506.47000003</v>
      </c>
      <c r="F77" s="155">
        <f t="shared" si="26"/>
        <v>310697991.75999999</v>
      </c>
      <c r="G77" s="155">
        <f t="shared" si="26"/>
        <v>244692529.08999997</v>
      </c>
    </row>
    <row r="78" spans="1:8" x14ac:dyDescent="0.25">
      <c r="A78" s="56"/>
      <c r="B78" s="47"/>
      <c r="C78" s="47"/>
      <c r="D78" s="47"/>
      <c r="E78" s="47"/>
      <c r="F78" s="47"/>
      <c r="G78" s="47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183648966.07000002</v>
      </c>
      <c r="Q2" s="18">
        <f>'Formato 6 c)'!C9</f>
        <v>24274753.689999994</v>
      </c>
      <c r="R2" s="18">
        <f>'Formato 6 c)'!D9</f>
        <v>207923719.75999996</v>
      </c>
      <c r="S2" s="18">
        <f>'Formato 6 c)'!E9</f>
        <v>163729064.36000001</v>
      </c>
      <c r="T2" s="18">
        <f>'Formato 6 c)'!F9</f>
        <v>157032395.76000002</v>
      </c>
      <c r="U2" s="18">
        <f>'Formato 6 c)'!G9</f>
        <v>44194655.399999991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96722189.460000008</v>
      </c>
      <c r="Q3" s="18">
        <f>'Formato 6 c)'!C10</f>
        <v>4726859.1899999995</v>
      </c>
      <c r="R3" s="18">
        <f>'Formato 6 c)'!D10</f>
        <v>101449048.64999999</v>
      </c>
      <c r="S3" s="18">
        <f>'Formato 6 c)'!E10</f>
        <v>90926035.670000002</v>
      </c>
      <c r="T3" s="18">
        <f>'Formato 6 c)'!F10</f>
        <v>89871506.850000009</v>
      </c>
      <c r="U3" s="18">
        <f>'Formato 6 c)'!G10</f>
        <v>10523012.979999999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12113929.550000001</v>
      </c>
      <c r="Q4" s="18">
        <f>'Formato 6 c)'!C11</f>
        <v>266436</v>
      </c>
      <c r="R4" s="18">
        <f>'Formato 6 c)'!D11</f>
        <v>12380365.550000001</v>
      </c>
      <c r="S4" s="18">
        <f>'Formato 6 c)'!E11</f>
        <v>12248355.189999999</v>
      </c>
      <c r="T4" s="18">
        <f>'Formato 6 c)'!F11</f>
        <v>12230155.699999999</v>
      </c>
      <c r="U4" s="18">
        <f>'Formato 6 c)'!G11</f>
        <v>132010.36000000127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429098</v>
      </c>
      <c r="Q5" s="18">
        <f>'Formato 6 c)'!C12</f>
        <v>0</v>
      </c>
      <c r="R5" s="18">
        <f>'Formato 6 c)'!D12</f>
        <v>429098</v>
      </c>
      <c r="S5" s="18">
        <f>'Formato 6 c)'!E12</f>
        <v>410479.46</v>
      </c>
      <c r="T5" s="18">
        <f>'Formato 6 c)'!F12</f>
        <v>410479.46</v>
      </c>
      <c r="U5" s="18">
        <f>'Formato 6 c)'!G12</f>
        <v>18618.539999999979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28415104.199999999</v>
      </c>
      <c r="Q6" s="18">
        <f>'Formato 6 c)'!C13</f>
        <v>-169526.48</v>
      </c>
      <c r="R6" s="18">
        <f>'Formato 6 c)'!D13</f>
        <v>28245577.719999999</v>
      </c>
      <c r="S6" s="18">
        <f>'Formato 6 c)'!E13</f>
        <v>24930727.48</v>
      </c>
      <c r="T6" s="18">
        <f>'Formato 6 c)'!F13</f>
        <v>24364114.699999999</v>
      </c>
      <c r="U6" s="18">
        <f>'Formato 6 c)'!G13</f>
        <v>3314850.2399999984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39284978.710000001</v>
      </c>
      <c r="Q8" s="18">
        <f>'Formato 6 c)'!C15</f>
        <v>2832216.29</v>
      </c>
      <c r="R8" s="18">
        <f>'Formato 6 c)'!D15</f>
        <v>42117195</v>
      </c>
      <c r="S8" s="18">
        <f>'Formato 6 c)'!E15</f>
        <v>36348668.850000001</v>
      </c>
      <c r="T8" s="18">
        <f>'Formato 6 c)'!F15</f>
        <v>35905445.539999999</v>
      </c>
      <c r="U8" s="18">
        <f>'Formato 6 c)'!G15</f>
        <v>5768526.1499999985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1557846</v>
      </c>
      <c r="Q10" s="18">
        <f>'Formato 6 c)'!C17</f>
        <v>-1012065.62</v>
      </c>
      <c r="R10" s="18">
        <f>'Formato 6 c)'!D17</f>
        <v>545780.38</v>
      </c>
      <c r="S10" s="18">
        <f>'Formato 6 c)'!E17</f>
        <v>100481</v>
      </c>
      <c r="T10" s="18">
        <f>'Formato 6 c)'!F17</f>
        <v>100481</v>
      </c>
      <c r="U10" s="18">
        <f>'Formato 6 c)'!G17</f>
        <v>445299.38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14921233</v>
      </c>
      <c r="Q11" s="18">
        <f>'Formato 6 c)'!C18</f>
        <v>2809799</v>
      </c>
      <c r="R11" s="18">
        <f>'Formato 6 c)'!D18</f>
        <v>17731032</v>
      </c>
      <c r="S11" s="18">
        <f>'Formato 6 c)'!E18</f>
        <v>16887323.690000001</v>
      </c>
      <c r="T11" s="18">
        <f>'Formato 6 c)'!F18</f>
        <v>16860830.449999999</v>
      </c>
      <c r="U11" s="18">
        <f>'Formato 6 c)'!G18</f>
        <v>843708.30999999866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80971214.510000005</v>
      </c>
      <c r="Q12" s="18">
        <f>'Formato 6 c)'!C19</f>
        <v>17208964.939999998</v>
      </c>
      <c r="R12" s="18">
        <f>'Formato 6 c)'!D19</f>
        <v>98180179.449999988</v>
      </c>
      <c r="S12" s="18">
        <f>'Formato 6 c)'!E19</f>
        <v>65475218.070000008</v>
      </c>
      <c r="T12" s="18">
        <f>'Formato 6 c)'!F19</f>
        <v>59924578.290000014</v>
      </c>
      <c r="U12" s="18">
        <f>'Formato 6 c)'!G19</f>
        <v>32704961.379999995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8177145</v>
      </c>
      <c r="Q13" s="18">
        <f>'Formato 6 c)'!C20</f>
        <v>958074.86</v>
      </c>
      <c r="R13" s="18">
        <f>'Formato 6 c)'!D20</f>
        <v>9135219.8599999994</v>
      </c>
      <c r="S13" s="18">
        <f>'Formato 6 c)'!E20</f>
        <v>8200400.8399999999</v>
      </c>
      <c r="T13" s="18">
        <f>'Formato 6 c)'!F20</f>
        <v>8200400.8399999999</v>
      </c>
      <c r="U13" s="18">
        <f>'Formato 6 c)'!G20</f>
        <v>934819.01999999955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56298516.350000001</v>
      </c>
      <c r="Q14" s="18">
        <f>'Formato 6 c)'!C21</f>
        <v>13334903.25</v>
      </c>
      <c r="R14" s="18">
        <f>'Formato 6 c)'!D21</f>
        <v>69633419.599999994</v>
      </c>
      <c r="S14" s="18">
        <f>'Formato 6 c)'!E21</f>
        <v>40093211.280000001</v>
      </c>
      <c r="T14" s="18">
        <f>'Formato 6 c)'!F21</f>
        <v>34660596.810000002</v>
      </c>
      <c r="U14" s="18">
        <f>'Formato 6 c)'!G21</f>
        <v>29540208.319999993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391653</v>
      </c>
      <c r="Q15" s="18">
        <f>'Formato 6 c)'!C22</f>
        <v>60000</v>
      </c>
      <c r="R15" s="18">
        <f>'Formato 6 c)'!D22</f>
        <v>451653</v>
      </c>
      <c r="S15" s="18">
        <f>'Formato 6 c)'!E22</f>
        <v>412410.99</v>
      </c>
      <c r="T15" s="18">
        <f>'Formato 6 c)'!F22</f>
        <v>367410.99</v>
      </c>
      <c r="U15" s="18">
        <f>'Formato 6 c)'!G22</f>
        <v>39242.010000000009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8289029.1600000001</v>
      </c>
      <c r="Q16" s="18">
        <f>'Formato 6 c)'!C23</f>
        <v>877507.78</v>
      </c>
      <c r="R16" s="18">
        <f>'Formato 6 c)'!D23</f>
        <v>9166536.9399999995</v>
      </c>
      <c r="S16" s="18">
        <f>'Formato 6 c)'!E23</f>
        <v>8161517.9800000004</v>
      </c>
      <c r="T16" s="18">
        <f>'Formato 6 c)'!F23</f>
        <v>8121451.1299999999</v>
      </c>
      <c r="U16" s="18">
        <f>'Formato 6 c)'!G23</f>
        <v>1005018.959999999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3528398</v>
      </c>
      <c r="Q17" s="18">
        <f>'Formato 6 c)'!C24</f>
        <v>1142000</v>
      </c>
      <c r="R17" s="18">
        <f>'Formato 6 c)'!D24</f>
        <v>4670398</v>
      </c>
      <c r="S17" s="18">
        <f>'Formato 6 c)'!E24</f>
        <v>3436722.6</v>
      </c>
      <c r="T17" s="18">
        <f>'Formato 6 c)'!F24</f>
        <v>3436722.6</v>
      </c>
      <c r="U17" s="18">
        <f>'Formato 6 c)'!G24</f>
        <v>1233675.3999999999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4286473</v>
      </c>
      <c r="Q18" s="18">
        <f>'Formato 6 c)'!C25</f>
        <v>836479.05</v>
      </c>
      <c r="R18" s="18">
        <f>'Formato 6 c)'!D25</f>
        <v>5122952.05</v>
      </c>
      <c r="S18" s="18">
        <f>'Formato 6 c)'!E25</f>
        <v>5170954.38</v>
      </c>
      <c r="T18" s="18">
        <f>'Formato 6 c)'!F25</f>
        <v>5137995.92</v>
      </c>
      <c r="U18" s="18">
        <f>'Formato 6 c)'!G25</f>
        <v>-48002.330000000075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5955562.0999999996</v>
      </c>
      <c r="Q20" s="18">
        <f>'Formato 6 c)'!C27</f>
        <v>2338929.56</v>
      </c>
      <c r="R20" s="18">
        <f>'Formato 6 c)'!D27</f>
        <v>8294491.6600000001</v>
      </c>
      <c r="S20" s="18">
        <f>'Formato 6 c)'!E27</f>
        <v>7327810.6200000001</v>
      </c>
      <c r="T20" s="18">
        <f>'Formato 6 c)'!F27</f>
        <v>7236310.6200000001</v>
      </c>
      <c r="U20" s="18">
        <f>'Formato 6 c)'!G27</f>
        <v>966681.03999999922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4674138</v>
      </c>
      <c r="Q21" s="18">
        <f>'Formato 6 c)'!C28</f>
        <v>-5172.3999999999996</v>
      </c>
      <c r="R21" s="18">
        <f>'Formato 6 c)'!D28</f>
        <v>4668965.5999999996</v>
      </c>
      <c r="S21" s="18">
        <f>'Formato 6 c)'!E28</f>
        <v>4473365.4800000004</v>
      </c>
      <c r="T21" s="18">
        <f>'Formato 6 c)'!F28</f>
        <v>4473365.4800000004</v>
      </c>
      <c r="U21" s="18">
        <f>'Formato 6 c)'!G28</f>
        <v>195600.11999999918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819791.1</v>
      </c>
      <c r="Q22" s="18">
        <f>'Formato 6 c)'!C29</f>
        <v>2194101.96</v>
      </c>
      <c r="R22" s="18">
        <f>'Formato 6 c)'!D29</f>
        <v>3013893.06</v>
      </c>
      <c r="S22" s="18">
        <f>'Formato 6 c)'!E29</f>
        <v>2268425</v>
      </c>
      <c r="T22" s="18">
        <f>'Formato 6 c)'!F29</f>
        <v>2176925</v>
      </c>
      <c r="U22" s="18">
        <f>'Formato 6 c)'!G29</f>
        <v>745468.06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461633</v>
      </c>
      <c r="Q27" s="18">
        <f>'Formato 6 c)'!C34</f>
        <v>150000</v>
      </c>
      <c r="R27" s="18">
        <f>'Formato 6 c)'!D34</f>
        <v>611633</v>
      </c>
      <c r="S27" s="18">
        <f>'Formato 6 c)'!E34</f>
        <v>586020.14</v>
      </c>
      <c r="T27" s="18">
        <f>'Formato 6 c)'!F34</f>
        <v>586020.14</v>
      </c>
      <c r="U27" s="18">
        <f>'Formato 6 c)'!G34</f>
        <v>25612.859999999986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438604834.12000006</v>
      </c>
      <c r="Q35" s="18">
        <f>'Formato 6 c)'!C43</f>
        <v>-58390518.319999993</v>
      </c>
      <c r="R35" s="18">
        <f>'Formato 6 c)'!D43</f>
        <v>380214315.80000001</v>
      </c>
      <c r="S35" s="18">
        <f>'Formato 6 c)'!E43</f>
        <v>179716442.11000001</v>
      </c>
      <c r="T35" s="18">
        <f>'Formato 6 c)'!F43</f>
        <v>153665596</v>
      </c>
      <c r="U35" s="18">
        <f>'Formato 6 c)'!G43</f>
        <v>200497873.69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82400012.530000001</v>
      </c>
      <c r="Q36" s="18">
        <f>'Formato 6 c)'!C44</f>
        <v>-6163175.1499999994</v>
      </c>
      <c r="R36" s="18">
        <f>'Formato 6 c)'!D44</f>
        <v>76236837.379999995</v>
      </c>
      <c r="S36" s="18">
        <f>'Formato 6 c)'!E44</f>
        <v>74404162.810000002</v>
      </c>
      <c r="T36" s="18">
        <f>'Formato 6 c)'!F44</f>
        <v>70098285.230000004</v>
      </c>
      <c r="U36" s="18">
        <f>'Formato 6 c)'!G44</f>
        <v>1832674.5699999966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13665531.48</v>
      </c>
      <c r="Q39" s="18">
        <f>'Formato 6 c)'!C47</f>
        <v>1230446.6100000001</v>
      </c>
      <c r="R39" s="18">
        <f>'Formato 6 c)'!D47</f>
        <v>14895978.09</v>
      </c>
      <c r="S39" s="18">
        <f>'Formato 6 c)'!E47</f>
        <v>13561389.26</v>
      </c>
      <c r="T39" s="18">
        <f>'Formato 6 c)'!F47</f>
        <v>12903856.27</v>
      </c>
      <c r="U39" s="18">
        <f>'Formato 6 c)'!G47</f>
        <v>1334588.83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10184072.68</v>
      </c>
      <c r="Q41" s="18">
        <f>'Formato 6 c)'!C49</f>
        <v>5012718.5</v>
      </c>
      <c r="R41" s="18">
        <f>'Formato 6 c)'!D49</f>
        <v>15196791.18</v>
      </c>
      <c r="S41" s="18">
        <f>'Formato 6 c)'!E49</f>
        <v>15156925.6</v>
      </c>
      <c r="T41" s="18">
        <f>'Formato 6 c)'!F49</f>
        <v>13619367.189999999</v>
      </c>
      <c r="U41" s="18">
        <f>'Formato 6 c)'!G49</f>
        <v>39865.580000000075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58550408.369999997</v>
      </c>
      <c r="Q43" s="18">
        <f>'Formato 6 c)'!C51</f>
        <v>-12406340.26</v>
      </c>
      <c r="R43" s="18">
        <f>'Formato 6 c)'!D51</f>
        <v>46144068.109999999</v>
      </c>
      <c r="S43" s="18">
        <f>'Formato 6 c)'!E51</f>
        <v>45685847.950000003</v>
      </c>
      <c r="T43" s="18">
        <f>'Formato 6 c)'!F51</f>
        <v>43575061.770000003</v>
      </c>
      <c r="U43" s="18">
        <f>'Formato 6 c)'!G51</f>
        <v>458220.15999999642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338025167.94000006</v>
      </c>
      <c r="Q45" s="18">
        <f>'Formato 6 c)'!C53</f>
        <v>-54525109.179999992</v>
      </c>
      <c r="R45" s="18">
        <f>'Formato 6 c)'!D53</f>
        <v>283500058.75999999</v>
      </c>
      <c r="S45" s="18">
        <f>'Formato 6 c)'!E53</f>
        <v>96956262.810000002</v>
      </c>
      <c r="T45" s="18">
        <f>'Formato 6 c)'!F53</f>
        <v>75424794.280000001</v>
      </c>
      <c r="U45" s="18">
        <f>'Formato 6 c)'!G53</f>
        <v>186543795.95000002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122133596.05</v>
      </c>
      <c r="Q46" s="18">
        <f>'Formato 6 c)'!C54</f>
        <v>-58510437.259999998</v>
      </c>
      <c r="R46" s="18">
        <f>'Formato 6 c)'!D54</f>
        <v>63623158.789999999</v>
      </c>
      <c r="S46" s="18">
        <f>'Formato 6 c)'!E54</f>
        <v>29827814.050000001</v>
      </c>
      <c r="T46" s="18">
        <f>'Formato 6 c)'!F54</f>
        <v>21657151.41</v>
      </c>
      <c r="U46" s="18">
        <f>'Formato 6 c)'!G54</f>
        <v>33795344.739999995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206143738.36000001</v>
      </c>
      <c r="Q47" s="18">
        <f>'Formato 6 c)'!C55</f>
        <v>-8483438.4000000004</v>
      </c>
      <c r="R47" s="18">
        <f>'Formato 6 c)'!D55</f>
        <v>197660299.96000001</v>
      </c>
      <c r="S47" s="18">
        <f>'Formato 6 c)'!E55</f>
        <v>57001756.850000001</v>
      </c>
      <c r="T47" s="18">
        <f>'Formato 6 c)'!F55</f>
        <v>49307019.380000003</v>
      </c>
      <c r="U47" s="18">
        <f>'Formato 6 c)'!G55</f>
        <v>140658543.11000001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100000</v>
      </c>
      <c r="Q48" s="18">
        <f>'Formato 6 c)'!C56</f>
        <v>0</v>
      </c>
      <c r="R48" s="18">
        <f>'Formato 6 c)'!D56</f>
        <v>100000</v>
      </c>
      <c r="S48" s="18">
        <f>'Formato 6 c)'!E56</f>
        <v>82264</v>
      </c>
      <c r="T48" s="18">
        <f>'Formato 6 c)'!F56</f>
        <v>61698</v>
      </c>
      <c r="U48" s="18">
        <f>'Formato 6 c)'!G56</f>
        <v>17736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8556545.6699999999</v>
      </c>
      <c r="Q49" s="18">
        <f>'Formato 6 c)'!C57</f>
        <v>12444685.380000001</v>
      </c>
      <c r="R49" s="18">
        <f>'Formato 6 c)'!D57</f>
        <v>21001231.050000001</v>
      </c>
      <c r="S49" s="18">
        <f>'Formato 6 c)'!E57</f>
        <v>9001578.1400000006</v>
      </c>
      <c r="T49" s="18">
        <f>'Formato 6 c)'!F57</f>
        <v>3722551.72</v>
      </c>
      <c r="U49" s="18">
        <f>'Formato 6 c)'!G57</f>
        <v>11999652.91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0</v>
      </c>
      <c r="Q50" s="18">
        <f>'Formato 6 c)'!C58</f>
        <v>618000</v>
      </c>
      <c r="R50" s="18">
        <f>'Formato 6 c)'!D58</f>
        <v>618000</v>
      </c>
      <c r="S50" s="18">
        <f>'Formato 6 c)'!E58</f>
        <v>545812.87</v>
      </c>
      <c r="T50" s="18">
        <f>'Formato 6 c)'!F58</f>
        <v>545812.87</v>
      </c>
      <c r="U50" s="18">
        <f>'Formato 6 c)'!G58</f>
        <v>72187.13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891287.86</v>
      </c>
      <c r="Q51" s="18">
        <f>'Formato 6 c)'!C59</f>
        <v>-593918.9</v>
      </c>
      <c r="R51" s="18">
        <f>'Formato 6 c)'!D59</f>
        <v>297368.95999999996</v>
      </c>
      <c r="S51" s="18">
        <f>'Formato 6 c)'!E59</f>
        <v>297368.96000000002</v>
      </c>
      <c r="T51" s="18">
        <f>'Formato 6 c)'!F59</f>
        <v>44892.959999999999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200000</v>
      </c>
      <c r="Q52" s="18">
        <f>'Formato 6 c)'!C60</f>
        <v>0</v>
      </c>
      <c r="R52" s="18">
        <f>'Formato 6 c)'!D60</f>
        <v>200000</v>
      </c>
      <c r="S52" s="18">
        <f>'Formato 6 c)'!E60</f>
        <v>199667.94</v>
      </c>
      <c r="T52" s="18">
        <f>'Formato 6 c)'!F60</f>
        <v>85667.94</v>
      </c>
      <c r="U52" s="18">
        <f>'Formato 6 c)'!G60</f>
        <v>332.05999999999767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8129468.0999999996</v>
      </c>
      <c r="Q53" s="18">
        <f>'Formato 6 c)'!C61</f>
        <v>5613456.9000000004</v>
      </c>
      <c r="R53" s="18">
        <f>'Formato 6 c)'!D61</f>
        <v>13742925</v>
      </c>
      <c r="S53" s="18">
        <f>'Formato 6 c)'!E61</f>
        <v>2942925</v>
      </c>
      <c r="T53" s="18">
        <f>'Formato 6 c)'!F61</f>
        <v>2729425</v>
      </c>
      <c r="U53" s="18">
        <f>'Formato 6 c)'!G61</f>
        <v>10800000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1511468.1</v>
      </c>
      <c r="Q55" s="18">
        <f>'Formato 6 c)'!C63</f>
        <v>2081456.9</v>
      </c>
      <c r="R55" s="18">
        <f>'Formato 6 c)'!D63</f>
        <v>3592925</v>
      </c>
      <c r="S55" s="18">
        <f>'Formato 6 c)'!E63</f>
        <v>2942925</v>
      </c>
      <c r="T55" s="18">
        <f>'Formato 6 c)'!F63</f>
        <v>2729425</v>
      </c>
      <c r="U55" s="18">
        <f>'Formato 6 c)'!G63</f>
        <v>650000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6618000</v>
      </c>
      <c r="Q58" s="18">
        <f>'Formato 6 c)'!C66</f>
        <v>3382000</v>
      </c>
      <c r="R58" s="18">
        <f>'Formato 6 c)'!D66</f>
        <v>10000000</v>
      </c>
      <c r="S58" s="18">
        <f>'Formato 6 c)'!E66</f>
        <v>0</v>
      </c>
      <c r="T58" s="18">
        <f>'Formato 6 c)'!F66</f>
        <v>0</v>
      </c>
      <c r="U58" s="18">
        <f>'Formato 6 c)'!G66</f>
        <v>10000000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0</v>
      </c>
      <c r="Q60" s="18">
        <f>'Formato 6 c)'!C68</f>
        <v>150000</v>
      </c>
      <c r="R60" s="18">
        <f>'Formato 6 c)'!D68</f>
        <v>150000</v>
      </c>
      <c r="S60" s="18">
        <f>'Formato 6 c)'!E68</f>
        <v>0</v>
      </c>
      <c r="T60" s="18">
        <f>'Formato 6 c)'!F68</f>
        <v>0</v>
      </c>
      <c r="U60" s="18">
        <f>'Formato 6 c)'!G68</f>
        <v>150000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10050185.550000001</v>
      </c>
      <c r="Q63" s="18">
        <f>'Formato 6 c)'!C71</f>
        <v>-3315690.89</v>
      </c>
      <c r="R63" s="18">
        <f>'Formato 6 c)'!D71</f>
        <v>6734494.6600000001</v>
      </c>
      <c r="S63" s="18">
        <f>'Formato 6 c)'!E71</f>
        <v>5413091.4900000002</v>
      </c>
      <c r="T63" s="18">
        <f>'Formato 6 c)'!F71</f>
        <v>5413091.4900000002</v>
      </c>
      <c r="U63" s="18">
        <f>'Formato 6 c)'!G71</f>
        <v>1321403.17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10050185.550000001</v>
      </c>
      <c r="Q64" s="18">
        <f>'Formato 6 c)'!C72</f>
        <v>-3315690.89</v>
      </c>
      <c r="R64" s="18">
        <f>'Formato 6 c)'!D72</f>
        <v>6734494.6600000001</v>
      </c>
      <c r="S64" s="18">
        <f>'Formato 6 c)'!E72</f>
        <v>5413091.4900000002</v>
      </c>
      <c r="T64" s="18">
        <f>'Formato 6 c)'!F72</f>
        <v>5413091.4900000002</v>
      </c>
      <c r="U64" s="18">
        <f>'Formato 6 c)'!G72</f>
        <v>1321403.17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622253800.19000006</v>
      </c>
      <c r="Q68" s="18">
        <f>'Formato 6 c)'!C77</f>
        <v>-34115764.629999995</v>
      </c>
      <c r="R68" s="18">
        <f>'Formato 6 c)'!D77</f>
        <v>588138035.55999994</v>
      </c>
      <c r="S68" s="18">
        <f>'Formato 6 c)'!E77</f>
        <v>343445506.47000003</v>
      </c>
      <c r="T68" s="18">
        <f>'Formato 6 c)'!F77</f>
        <v>310697991.75999999</v>
      </c>
      <c r="U68" s="18">
        <f>'Formato 6 c)'!G77</f>
        <v>244692529.08999997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XFD104857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04" t="s">
        <v>3279</v>
      </c>
      <c r="B1" s="203"/>
      <c r="C1" s="203"/>
      <c r="D1" s="203"/>
      <c r="E1" s="203"/>
      <c r="F1" s="203"/>
      <c r="G1" s="203"/>
    </row>
    <row r="2" spans="1:7" x14ac:dyDescent="0.25">
      <c r="A2" s="185" t="str">
        <f>ENTE_PUBLICO_A</f>
        <v>MUNICIPIO DE VALLE DE SANTIAGO, GTO., Gobierno del Estado de Guanajuato (a)</v>
      </c>
      <c r="B2" s="186"/>
      <c r="C2" s="186"/>
      <c r="D2" s="186"/>
      <c r="E2" s="186"/>
      <c r="F2" s="186"/>
      <c r="G2" s="187"/>
    </row>
    <row r="3" spans="1:7" x14ac:dyDescent="0.25">
      <c r="A3" s="191" t="s">
        <v>277</v>
      </c>
      <c r="B3" s="192"/>
      <c r="C3" s="192"/>
      <c r="D3" s="192"/>
      <c r="E3" s="192"/>
      <c r="F3" s="192"/>
      <c r="G3" s="193"/>
    </row>
    <row r="4" spans="1:7" x14ac:dyDescent="0.25">
      <c r="A4" s="191" t="s">
        <v>399</v>
      </c>
      <c r="B4" s="192"/>
      <c r="C4" s="192"/>
      <c r="D4" s="192"/>
      <c r="E4" s="192"/>
      <c r="F4" s="192"/>
      <c r="G4" s="193"/>
    </row>
    <row r="5" spans="1:7" x14ac:dyDescent="0.25">
      <c r="A5" s="191" t="str">
        <f>TRIMESTRE</f>
        <v>Del 1 de enero al 31 de diciembre de 2017 (b)</v>
      </c>
      <c r="B5" s="192"/>
      <c r="C5" s="192"/>
      <c r="D5" s="192"/>
      <c r="E5" s="192"/>
      <c r="F5" s="192"/>
      <c r="G5" s="193"/>
    </row>
    <row r="6" spans="1:7" x14ac:dyDescent="0.25">
      <c r="A6" s="194" t="s">
        <v>118</v>
      </c>
      <c r="B6" s="195"/>
      <c r="C6" s="195"/>
      <c r="D6" s="195"/>
      <c r="E6" s="195"/>
      <c r="F6" s="195"/>
      <c r="G6" s="196"/>
    </row>
    <row r="7" spans="1:7" x14ac:dyDescent="0.25">
      <c r="A7" s="200" t="s">
        <v>361</v>
      </c>
      <c r="B7" s="205" t="s">
        <v>279</v>
      </c>
      <c r="C7" s="205"/>
      <c r="D7" s="205"/>
      <c r="E7" s="205"/>
      <c r="F7" s="205"/>
      <c r="G7" s="205" t="s">
        <v>280</v>
      </c>
    </row>
    <row r="8" spans="1:7" ht="29.25" customHeight="1" x14ac:dyDescent="0.25">
      <c r="A8" s="201"/>
      <c r="B8" s="43" t="s">
        <v>281</v>
      </c>
      <c r="C8" s="48" t="s">
        <v>362</v>
      </c>
      <c r="D8" s="48" t="s">
        <v>212</v>
      </c>
      <c r="E8" s="48" t="s">
        <v>167</v>
      </c>
      <c r="F8" s="48" t="s">
        <v>185</v>
      </c>
      <c r="G8" s="212"/>
    </row>
    <row r="9" spans="1:7" x14ac:dyDescent="0.25">
      <c r="A9" s="50" t="s">
        <v>400</v>
      </c>
      <c r="B9" s="160">
        <f t="shared" ref="B9:G9" si="0">SUM(B10,B11,B12,B15,B16,B19)</f>
        <v>91522638.939999998</v>
      </c>
      <c r="C9" s="160">
        <f t="shared" si="0"/>
        <v>1091933.94</v>
      </c>
      <c r="D9" s="160">
        <f t="shared" si="0"/>
        <v>92614572.879999995</v>
      </c>
      <c r="E9" s="160">
        <f t="shared" si="0"/>
        <v>89376635.75</v>
      </c>
      <c r="F9" s="160">
        <f t="shared" si="0"/>
        <v>88644040.299999997</v>
      </c>
      <c r="G9" s="160">
        <f t="shared" si="0"/>
        <v>3237937.1299999952</v>
      </c>
    </row>
    <row r="10" spans="1:7" x14ac:dyDescent="0.25">
      <c r="A10" s="51" t="s">
        <v>401</v>
      </c>
      <c r="B10" s="136">
        <v>91522638.939999998</v>
      </c>
      <c r="C10" s="136">
        <v>1091933.94</v>
      </c>
      <c r="D10" s="158">
        <f>B10+C10</f>
        <v>92614572.879999995</v>
      </c>
      <c r="E10" s="136">
        <v>89376635.75</v>
      </c>
      <c r="F10" s="136">
        <v>88644040.299999997</v>
      </c>
      <c r="G10" s="158">
        <f>D10-E10</f>
        <v>3237937.1299999952</v>
      </c>
    </row>
    <row r="11" spans="1:7" x14ac:dyDescent="0.25">
      <c r="A11" s="51" t="s">
        <v>402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f t="shared" ref="G11" si="1">D11-E11</f>
        <v>0</v>
      </c>
    </row>
    <row r="12" spans="1:7" x14ac:dyDescent="0.25">
      <c r="A12" s="51" t="s">
        <v>403</v>
      </c>
      <c r="B12" s="159">
        <f t="shared" ref="B12:G12" si="2">B13+B14</f>
        <v>0</v>
      </c>
      <c r="C12" s="159">
        <f t="shared" si="2"/>
        <v>0</v>
      </c>
      <c r="D12" s="159">
        <f t="shared" si="2"/>
        <v>0</v>
      </c>
      <c r="E12" s="159">
        <f t="shared" si="2"/>
        <v>0</v>
      </c>
      <c r="F12" s="159">
        <f t="shared" si="2"/>
        <v>0</v>
      </c>
      <c r="G12" s="159">
        <f t="shared" si="2"/>
        <v>0</v>
      </c>
    </row>
    <row r="13" spans="1:7" x14ac:dyDescent="0.25">
      <c r="A13" s="61" t="s">
        <v>404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</row>
    <row r="14" spans="1:7" x14ac:dyDescent="0.25">
      <c r="A14" s="61" t="s">
        <v>405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</row>
    <row r="15" spans="1:7" x14ac:dyDescent="0.25">
      <c r="A15" s="51" t="s">
        <v>406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</row>
    <row r="16" spans="1:7" x14ac:dyDescent="0.25">
      <c r="A16" s="62" t="s">
        <v>407</v>
      </c>
      <c r="B16" s="159">
        <f t="shared" ref="B16:G16" si="3">B17+B18</f>
        <v>0</v>
      </c>
      <c r="C16" s="159">
        <f t="shared" si="3"/>
        <v>0</v>
      </c>
      <c r="D16" s="159">
        <f t="shared" si="3"/>
        <v>0</v>
      </c>
      <c r="E16" s="159">
        <f t="shared" si="3"/>
        <v>0</v>
      </c>
      <c r="F16" s="159">
        <f t="shared" si="3"/>
        <v>0</v>
      </c>
      <c r="G16" s="159">
        <f t="shared" si="3"/>
        <v>0</v>
      </c>
    </row>
    <row r="17" spans="1:7" x14ac:dyDescent="0.25">
      <c r="A17" s="61" t="s">
        <v>408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</row>
    <row r="18" spans="1:7" x14ac:dyDescent="0.25">
      <c r="A18" s="61" t="s">
        <v>409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</row>
    <row r="19" spans="1:7" x14ac:dyDescent="0.25">
      <c r="A19" s="51" t="s">
        <v>410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</row>
    <row r="20" spans="1:7" x14ac:dyDescent="0.25">
      <c r="A20" s="52"/>
      <c r="B20" s="64"/>
      <c r="C20" s="64"/>
      <c r="D20" s="64"/>
      <c r="E20" s="64"/>
      <c r="F20" s="64"/>
      <c r="G20" s="64"/>
    </row>
    <row r="21" spans="1:7" s="23" customFormat="1" x14ac:dyDescent="0.25">
      <c r="A21" s="14" t="s">
        <v>411</v>
      </c>
      <c r="B21" s="160">
        <f t="shared" ref="B21:G21" si="4">SUM(B22,B23,B24,B27,B28,B31)</f>
        <v>47801372.700000003</v>
      </c>
      <c r="C21" s="160">
        <f t="shared" si="4"/>
        <v>-5665763.8300000001</v>
      </c>
      <c r="D21" s="160">
        <f t="shared" si="4"/>
        <v>42135608.870000005</v>
      </c>
      <c r="E21" s="160">
        <f t="shared" si="4"/>
        <v>41577663.219999999</v>
      </c>
      <c r="F21" s="160">
        <f t="shared" si="4"/>
        <v>41205279.18</v>
      </c>
      <c r="G21" s="160">
        <f t="shared" si="4"/>
        <v>557945.65000000596</v>
      </c>
    </row>
    <row r="22" spans="1:7" s="23" customFormat="1" x14ac:dyDescent="0.25">
      <c r="A22" s="51" t="s">
        <v>401</v>
      </c>
      <c r="B22" s="136">
        <v>47801372.700000003</v>
      </c>
      <c r="C22" s="136">
        <v>-5665763.8300000001</v>
      </c>
      <c r="D22" s="158">
        <f t="shared" ref="D22" si="5">B22+C22</f>
        <v>42135608.870000005</v>
      </c>
      <c r="E22" s="136">
        <v>41577663.219999999</v>
      </c>
      <c r="F22" s="136">
        <v>41205279.18</v>
      </c>
      <c r="G22" s="158">
        <f>D22-E22</f>
        <v>557945.65000000596</v>
      </c>
    </row>
    <row r="23" spans="1:7" s="23" customFormat="1" x14ac:dyDescent="0.25">
      <c r="A23" s="51" t="s">
        <v>402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7" s="23" customFormat="1" x14ac:dyDescent="0.25">
      <c r="A24" s="51" t="s">
        <v>403</v>
      </c>
      <c r="B24" s="159">
        <f t="shared" ref="B24:G24" si="6">B25+B26</f>
        <v>0</v>
      </c>
      <c r="C24" s="159">
        <f t="shared" si="6"/>
        <v>0</v>
      </c>
      <c r="D24" s="159">
        <f t="shared" si="6"/>
        <v>0</v>
      </c>
      <c r="E24" s="159">
        <f t="shared" si="6"/>
        <v>0</v>
      </c>
      <c r="F24" s="159">
        <f t="shared" si="6"/>
        <v>0</v>
      </c>
      <c r="G24" s="159">
        <f t="shared" si="6"/>
        <v>0</v>
      </c>
    </row>
    <row r="25" spans="1:7" s="23" customFormat="1" x14ac:dyDescent="0.25">
      <c r="A25" s="61" t="s">
        <v>404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7" s="23" customFormat="1" x14ac:dyDescent="0.25">
      <c r="A26" s="61" t="s">
        <v>405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7" s="23" customFormat="1" x14ac:dyDescent="0.25">
      <c r="A27" s="51" t="s">
        <v>406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7" s="23" customFormat="1" x14ac:dyDescent="0.25">
      <c r="A28" s="62" t="s">
        <v>407</v>
      </c>
      <c r="B28" s="159">
        <f t="shared" ref="B28:G28" si="7">B29+B30</f>
        <v>0</v>
      </c>
      <c r="C28" s="159">
        <f t="shared" si="7"/>
        <v>0</v>
      </c>
      <c r="D28" s="159">
        <f t="shared" si="7"/>
        <v>0</v>
      </c>
      <c r="E28" s="159">
        <f t="shared" si="7"/>
        <v>0</v>
      </c>
      <c r="F28" s="159">
        <f t="shared" si="7"/>
        <v>0</v>
      </c>
      <c r="G28" s="159">
        <f t="shared" si="7"/>
        <v>0</v>
      </c>
    </row>
    <row r="29" spans="1:7" s="23" customFormat="1" x14ac:dyDescent="0.25">
      <c r="A29" s="61" t="s">
        <v>408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7" s="23" customFormat="1" x14ac:dyDescent="0.25">
      <c r="A30" s="61" t="s">
        <v>409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</row>
    <row r="31" spans="1:7" s="23" customFormat="1" x14ac:dyDescent="0.25">
      <c r="A31" s="51" t="s">
        <v>410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</row>
    <row r="32" spans="1:7" x14ac:dyDescent="0.25">
      <c r="A32" s="52"/>
      <c r="B32" s="64"/>
      <c r="C32" s="64"/>
      <c r="D32" s="64"/>
      <c r="E32" s="64"/>
      <c r="F32" s="64"/>
      <c r="G32" s="64"/>
    </row>
    <row r="33" spans="1:7" x14ac:dyDescent="0.25">
      <c r="A33" s="53" t="s">
        <v>412</v>
      </c>
      <c r="B33" s="160">
        <f t="shared" ref="B33:G33" si="8">B21+B9</f>
        <v>139324011.63999999</v>
      </c>
      <c r="C33" s="160">
        <f t="shared" si="8"/>
        <v>-4573829.8900000006</v>
      </c>
      <c r="D33" s="160">
        <f t="shared" si="8"/>
        <v>134750181.75</v>
      </c>
      <c r="E33" s="160">
        <f t="shared" si="8"/>
        <v>130954298.97</v>
      </c>
      <c r="F33" s="160">
        <f t="shared" si="8"/>
        <v>129849319.47999999</v>
      </c>
      <c r="G33" s="160">
        <f t="shared" si="8"/>
        <v>3795882.7800000012</v>
      </c>
    </row>
    <row r="34" spans="1:7" x14ac:dyDescent="0.25">
      <c r="A34" s="63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91522638.939999998</v>
      </c>
      <c r="Q2" s="18">
        <f>'Formato 6 d)'!C9</f>
        <v>1091933.94</v>
      </c>
      <c r="R2" s="18">
        <f>'Formato 6 d)'!D9</f>
        <v>92614572.879999995</v>
      </c>
      <c r="S2" s="18">
        <f>'Formato 6 d)'!E9</f>
        <v>89376635.75</v>
      </c>
      <c r="T2" s="18">
        <f>'Formato 6 d)'!F9</f>
        <v>88644040.299999997</v>
      </c>
      <c r="U2" s="18">
        <f>'Formato 6 d)'!G9</f>
        <v>3237937.1299999952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91522638.939999998</v>
      </c>
      <c r="Q3" s="18">
        <f>'Formato 6 d)'!C10</f>
        <v>1091933.94</v>
      </c>
      <c r="R3" s="18">
        <f>'Formato 6 d)'!D10</f>
        <v>92614572.879999995</v>
      </c>
      <c r="S3" s="18">
        <f>'Formato 6 d)'!E10</f>
        <v>89376635.75</v>
      </c>
      <c r="T3" s="18">
        <f>'Formato 6 d)'!F10</f>
        <v>88644040.299999997</v>
      </c>
      <c r="U3" s="18">
        <f>'Formato 6 d)'!G10</f>
        <v>3237937.1299999952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47801372.700000003</v>
      </c>
      <c r="Q13" s="18">
        <f>'Formato 6 d)'!C21</f>
        <v>-5665763.8300000001</v>
      </c>
      <c r="R13" s="18">
        <f>'Formato 6 d)'!D21</f>
        <v>42135608.870000005</v>
      </c>
      <c r="S13" s="18">
        <f>'Formato 6 d)'!E21</f>
        <v>41577663.219999999</v>
      </c>
      <c r="T13" s="18">
        <f>'Formato 6 d)'!F21</f>
        <v>41205279.18</v>
      </c>
      <c r="U13" s="18">
        <f>'Formato 6 d)'!G21</f>
        <v>557945.65000000596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47801372.700000003</v>
      </c>
      <c r="Q14" s="18">
        <f>'Formato 6 d)'!C22</f>
        <v>-5665763.8300000001</v>
      </c>
      <c r="R14" s="18">
        <f>'Formato 6 d)'!D22</f>
        <v>42135608.870000005</v>
      </c>
      <c r="S14" s="18">
        <f>'Formato 6 d)'!E22</f>
        <v>41577663.219999999</v>
      </c>
      <c r="T14" s="18">
        <f>'Formato 6 d)'!F22</f>
        <v>41205279.18</v>
      </c>
      <c r="U14" s="18">
        <f>'Formato 6 d)'!G22</f>
        <v>557945.65000000596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139324011.63999999</v>
      </c>
      <c r="Q24" s="18">
        <f>'Formato 6 d)'!C33</f>
        <v>-4573829.8900000006</v>
      </c>
      <c r="R24" s="18">
        <f>'Formato 6 d)'!D33</f>
        <v>134750181.75</v>
      </c>
      <c r="S24" s="18">
        <f>'Formato 6 d)'!E33</f>
        <v>130954298.97</v>
      </c>
      <c r="T24" s="18">
        <f>'Formato 6 d)'!F33</f>
        <v>129849319.47999999</v>
      </c>
      <c r="U24" s="18">
        <f>'Formato 6 d)'!G33</f>
        <v>3795882.7800000012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E19" sqref="E19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203" t="s">
        <v>413</v>
      </c>
      <c r="B1" s="203"/>
      <c r="C1" s="203"/>
      <c r="D1" s="203"/>
      <c r="E1" s="203"/>
      <c r="F1" s="203"/>
      <c r="G1" s="203"/>
    </row>
    <row r="2" spans="1:7" x14ac:dyDescent="0.2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x14ac:dyDescent="0.25">
      <c r="A3" s="188" t="s">
        <v>414</v>
      </c>
      <c r="B3" s="189"/>
      <c r="C3" s="189"/>
      <c r="D3" s="189"/>
      <c r="E3" s="189"/>
      <c r="F3" s="189"/>
      <c r="G3" s="190"/>
    </row>
    <row r="4" spans="1:7" x14ac:dyDescent="0.25">
      <c r="A4" s="188" t="s">
        <v>118</v>
      </c>
      <c r="B4" s="189"/>
      <c r="C4" s="189"/>
      <c r="D4" s="189"/>
      <c r="E4" s="189"/>
      <c r="F4" s="189"/>
      <c r="G4" s="190"/>
    </row>
    <row r="5" spans="1:7" x14ac:dyDescent="0.25">
      <c r="A5" s="188" t="s">
        <v>415</v>
      </c>
      <c r="B5" s="189"/>
      <c r="C5" s="189"/>
      <c r="D5" s="189"/>
      <c r="E5" s="189"/>
      <c r="F5" s="189"/>
      <c r="G5" s="190"/>
    </row>
    <row r="6" spans="1:7" x14ac:dyDescent="0.25">
      <c r="A6" s="200" t="s">
        <v>3280</v>
      </c>
      <c r="B6" s="49">
        <f>ANIO1P</f>
        <v>2018</v>
      </c>
      <c r="C6" s="213" t="str">
        <f>ANIO2P</f>
        <v>2019 (d)</v>
      </c>
      <c r="D6" s="213" t="str">
        <f>ANIO3P</f>
        <v>2020 (d)</v>
      </c>
      <c r="E6" s="213" t="str">
        <f>ANIO4P</f>
        <v>2021 (d)</v>
      </c>
      <c r="F6" s="213" t="str">
        <f>ANIO5P</f>
        <v>2022 (d)</v>
      </c>
      <c r="G6" s="213" t="str">
        <f>ANIO6P</f>
        <v>2023 (d)</v>
      </c>
    </row>
    <row r="7" spans="1:7" ht="48" customHeight="1" x14ac:dyDescent="0.25">
      <c r="A7" s="201"/>
      <c r="B7" s="79" t="s">
        <v>3283</v>
      </c>
      <c r="C7" s="214"/>
      <c r="D7" s="214"/>
      <c r="E7" s="214"/>
      <c r="F7" s="214"/>
      <c r="G7" s="214"/>
    </row>
    <row r="8" spans="1:7" x14ac:dyDescent="0.25">
      <c r="A8" s="50" t="s">
        <v>421</v>
      </c>
      <c r="B8" s="163">
        <f t="shared" ref="B8:G8" si="0">SUM(B9:B20)</f>
        <v>190120006.29000002</v>
      </c>
      <c r="C8" s="163">
        <f t="shared" si="0"/>
        <v>197724806.54160002</v>
      </c>
      <c r="D8" s="163">
        <f t="shared" si="0"/>
        <v>205633798.80326402</v>
      </c>
      <c r="E8" s="163">
        <f t="shared" si="0"/>
        <v>213859150.75539458</v>
      </c>
      <c r="F8" s="163">
        <f t="shared" si="0"/>
        <v>222413516.78561035</v>
      </c>
      <c r="G8" s="163">
        <f t="shared" si="0"/>
        <v>231310057.45703477</v>
      </c>
    </row>
    <row r="9" spans="1:7" x14ac:dyDescent="0.25">
      <c r="A9" s="51" t="s">
        <v>216</v>
      </c>
      <c r="B9" s="161">
        <v>17139871.98</v>
      </c>
      <c r="C9" s="161">
        <f>B9*4%+B9</f>
        <v>17825466.859200001</v>
      </c>
      <c r="D9" s="161">
        <f>C9*4%+C9</f>
        <v>18538485.533568002</v>
      </c>
      <c r="E9" s="161">
        <f>D9*4%+D9</f>
        <v>19280024.954910722</v>
      </c>
      <c r="F9" s="161">
        <f>E9*4%+E9</f>
        <v>20051225.953107152</v>
      </c>
      <c r="G9" s="161">
        <f>F9*4%+F9</f>
        <v>20853274.991231438</v>
      </c>
    </row>
    <row r="10" spans="1:7" x14ac:dyDescent="0.25">
      <c r="A10" s="51" t="s">
        <v>217</v>
      </c>
      <c r="B10" s="161">
        <v>0</v>
      </c>
      <c r="C10" s="161">
        <f t="shared" ref="C10:G20" si="1">B10*4%+B10</f>
        <v>0</v>
      </c>
      <c r="D10" s="161">
        <f t="shared" si="1"/>
        <v>0</v>
      </c>
      <c r="E10" s="161">
        <f t="shared" si="1"/>
        <v>0</v>
      </c>
      <c r="F10" s="161">
        <f t="shared" si="1"/>
        <v>0</v>
      </c>
      <c r="G10" s="161">
        <f t="shared" si="1"/>
        <v>0</v>
      </c>
    </row>
    <row r="11" spans="1:7" x14ac:dyDescent="0.25">
      <c r="A11" s="51" t="s">
        <v>218</v>
      </c>
      <c r="B11" s="161">
        <v>4683157.54</v>
      </c>
      <c r="C11" s="161">
        <f t="shared" si="1"/>
        <v>4870483.8415999999</v>
      </c>
      <c r="D11" s="161">
        <f t="shared" si="1"/>
        <v>5065303.1952639995</v>
      </c>
      <c r="E11" s="161">
        <f t="shared" si="1"/>
        <v>5267915.3230745597</v>
      </c>
      <c r="F11" s="161">
        <f t="shared" si="1"/>
        <v>5478631.935997542</v>
      </c>
      <c r="G11" s="161">
        <f t="shared" si="1"/>
        <v>5697777.2134374436</v>
      </c>
    </row>
    <row r="12" spans="1:7" x14ac:dyDescent="0.25">
      <c r="A12" s="51" t="s">
        <v>416</v>
      </c>
      <c r="B12" s="161">
        <v>24293047.43</v>
      </c>
      <c r="C12" s="161">
        <f t="shared" si="1"/>
        <v>25264769.327199999</v>
      </c>
      <c r="D12" s="161">
        <f t="shared" si="1"/>
        <v>26275360.100288</v>
      </c>
      <c r="E12" s="161">
        <f t="shared" si="1"/>
        <v>27326374.504299521</v>
      </c>
      <c r="F12" s="161">
        <f t="shared" si="1"/>
        <v>28419429.484471504</v>
      </c>
      <c r="G12" s="161">
        <f t="shared" si="1"/>
        <v>29556206.663850363</v>
      </c>
    </row>
    <row r="13" spans="1:7" x14ac:dyDescent="0.25">
      <c r="A13" s="51" t="s">
        <v>220</v>
      </c>
      <c r="B13" s="161">
        <v>3214454.9</v>
      </c>
      <c r="C13" s="161">
        <f t="shared" si="1"/>
        <v>3343033.0959999999</v>
      </c>
      <c r="D13" s="161">
        <f t="shared" si="1"/>
        <v>3476754.4198400001</v>
      </c>
      <c r="E13" s="161">
        <f t="shared" si="1"/>
        <v>3615824.5966336001</v>
      </c>
      <c r="F13" s="161">
        <f t="shared" si="1"/>
        <v>3760457.580498944</v>
      </c>
      <c r="G13" s="161">
        <f t="shared" si="1"/>
        <v>3910875.8837189018</v>
      </c>
    </row>
    <row r="14" spans="1:7" x14ac:dyDescent="0.25">
      <c r="A14" s="51" t="s">
        <v>221</v>
      </c>
      <c r="B14" s="161">
        <v>2665994.4500000002</v>
      </c>
      <c r="C14" s="161">
        <f t="shared" si="1"/>
        <v>2772634.2280000001</v>
      </c>
      <c r="D14" s="161">
        <f t="shared" si="1"/>
        <v>2883539.59712</v>
      </c>
      <c r="E14" s="161">
        <f t="shared" si="1"/>
        <v>2998881.1810047999</v>
      </c>
      <c r="F14" s="161">
        <f t="shared" si="1"/>
        <v>3118836.4282449917</v>
      </c>
      <c r="G14" s="161">
        <f t="shared" si="1"/>
        <v>3243589.8853747915</v>
      </c>
    </row>
    <row r="15" spans="1:7" x14ac:dyDescent="0.25">
      <c r="A15" s="51" t="s">
        <v>417</v>
      </c>
      <c r="B15" s="161">
        <v>0</v>
      </c>
      <c r="C15" s="161">
        <f t="shared" si="1"/>
        <v>0</v>
      </c>
      <c r="D15" s="161">
        <f t="shared" si="1"/>
        <v>0</v>
      </c>
      <c r="E15" s="161">
        <f t="shared" si="1"/>
        <v>0</v>
      </c>
      <c r="F15" s="161">
        <f t="shared" si="1"/>
        <v>0</v>
      </c>
      <c r="G15" s="161">
        <f t="shared" si="1"/>
        <v>0</v>
      </c>
    </row>
    <row r="16" spans="1:7" x14ac:dyDescent="0.25">
      <c r="A16" s="51" t="s">
        <v>418</v>
      </c>
      <c r="B16" s="162">
        <f>138123479.99-B17</f>
        <v>135548297.79000002</v>
      </c>
      <c r="C16" s="161">
        <f t="shared" si="1"/>
        <v>140970229.70160002</v>
      </c>
      <c r="D16" s="161">
        <f t="shared" si="1"/>
        <v>146609038.88966402</v>
      </c>
      <c r="E16" s="161">
        <f t="shared" si="1"/>
        <v>152473400.44525057</v>
      </c>
      <c r="F16" s="161">
        <f t="shared" si="1"/>
        <v>158572336.46306059</v>
      </c>
      <c r="G16" s="161">
        <f t="shared" si="1"/>
        <v>164915229.921583</v>
      </c>
    </row>
    <row r="17" spans="1:7" x14ac:dyDescent="0.25">
      <c r="A17" s="10" t="s">
        <v>419</v>
      </c>
      <c r="B17" s="162">
        <f>36057.02+262080.36+1362569.36+914475.46</f>
        <v>2575182.2000000002</v>
      </c>
      <c r="C17" s="161">
        <f t="shared" si="1"/>
        <v>2678189.4880000004</v>
      </c>
      <c r="D17" s="161">
        <f t="shared" si="1"/>
        <v>2785317.0675200005</v>
      </c>
      <c r="E17" s="161">
        <f t="shared" si="1"/>
        <v>2896729.7502208007</v>
      </c>
      <c r="F17" s="161">
        <f t="shared" si="1"/>
        <v>3012598.9402296329</v>
      </c>
      <c r="G17" s="161">
        <f t="shared" si="1"/>
        <v>3133102.8978388184</v>
      </c>
    </row>
    <row r="18" spans="1:7" x14ac:dyDescent="0.25">
      <c r="A18" s="51" t="s">
        <v>240</v>
      </c>
      <c r="B18" s="162">
        <v>0</v>
      </c>
      <c r="C18" s="161">
        <f t="shared" si="1"/>
        <v>0</v>
      </c>
      <c r="D18" s="161">
        <f t="shared" si="1"/>
        <v>0</v>
      </c>
      <c r="E18" s="161">
        <f t="shared" si="1"/>
        <v>0</v>
      </c>
      <c r="F18" s="161">
        <f t="shared" si="1"/>
        <v>0</v>
      </c>
      <c r="G18" s="161">
        <f t="shared" si="1"/>
        <v>0</v>
      </c>
    </row>
    <row r="19" spans="1:7" x14ac:dyDescent="0.25">
      <c r="A19" s="51" t="s">
        <v>241</v>
      </c>
      <c r="B19" s="162">
        <v>0</v>
      </c>
      <c r="C19" s="161">
        <f t="shared" si="1"/>
        <v>0</v>
      </c>
      <c r="D19" s="161">
        <f t="shared" si="1"/>
        <v>0</v>
      </c>
      <c r="E19" s="161">
        <f t="shared" si="1"/>
        <v>0</v>
      </c>
      <c r="F19" s="161">
        <f t="shared" si="1"/>
        <v>0</v>
      </c>
      <c r="G19" s="161">
        <f t="shared" si="1"/>
        <v>0</v>
      </c>
    </row>
    <row r="20" spans="1:7" x14ac:dyDescent="0.25">
      <c r="A20" s="51" t="s">
        <v>420</v>
      </c>
      <c r="B20" s="161">
        <v>0</v>
      </c>
      <c r="C20" s="161">
        <f t="shared" si="1"/>
        <v>0</v>
      </c>
      <c r="D20" s="161">
        <f t="shared" si="1"/>
        <v>0</v>
      </c>
      <c r="E20" s="161">
        <f t="shared" si="1"/>
        <v>0</v>
      </c>
      <c r="F20" s="161">
        <f t="shared" si="1"/>
        <v>0</v>
      </c>
      <c r="G20" s="161">
        <f t="shared" si="1"/>
        <v>0</v>
      </c>
    </row>
    <row r="21" spans="1:7" x14ac:dyDescent="0.25">
      <c r="A21" s="52"/>
      <c r="B21" s="52"/>
      <c r="C21" s="52"/>
      <c r="D21" s="52"/>
      <c r="E21" s="52"/>
      <c r="F21" s="52"/>
      <c r="G21" s="52"/>
    </row>
    <row r="22" spans="1:7" x14ac:dyDescent="0.25">
      <c r="A22" s="53" t="s">
        <v>422</v>
      </c>
      <c r="B22" s="139">
        <f t="shared" ref="B22:G22" si="2">SUM(B23:B27)</f>
        <v>242751517.66000003</v>
      </c>
      <c r="C22" s="139">
        <f t="shared" si="2"/>
        <v>252461578.3664</v>
      </c>
      <c r="D22" s="139">
        <f t="shared" si="2"/>
        <v>262560041.50105602</v>
      </c>
      <c r="E22" s="139">
        <f t="shared" si="2"/>
        <v>273062443.16109824</v>
      </c>
      <c r="F22" s="139">
        <f t="shared" si="2"/>
        <v>283984940.88754219</v>
      </c>
      <c r="G22" s="139">
        <f t="shared" si="2"/>
        <v>295344338.52304387</v>
      </c>
    </row>
    <row r="23" spans="1:7" x14ac:dyDescent="0.25">
      <c r="A23" s="51" t="s">
        <v>423</v>
      </c>
      <c r="B23" s="136">
        <f>70669652+87241876.05</f>
        <v>157911528.05000001</v>
      </c>
      <c r="C23" s="161">
        <f t="shared" ref="C23:G27" si="3">B23*4%+B23</f>
        <v>164227989.17200002</v>
      </c>
      <c r="D23" s="161">
        <f t="shared" si="3"/>
        <v>170797108.73888001</v>
      </c>
      <c r="E23" s="161">
        <f t="shared" si="3"/>
        <v>177628993.0884352</v>
      </c>
      <c r="F23" s="161">
        <f t="shared" si="3"/>
        <v>184734152.81197262</v>
      </c>
      <c r="G23" s="161">
        <f t="shared" si="3"/>
        <v>192123518.92445153</v>
      </c>
    </row>
    <row r="24" spans="1:7" x14ac:dyDescent="0.25">
      <c r="A24" s="51" t="s">
        <v>424</v>
      </c>
      <c r="B24" s="136">
        <v>81348739.609999999</v>
      </c>
      <c r="C24" s="161">
        <f t="shared" si="3"/>
        <v>84602689.194399998</v>
      </c>
      <c r="D24" s="161">
        <f t="shared" si="3"/>
        <v>87986796.762175992</v>
      </c>
      <c r="E24" s="161">
        <f t="shared" si="3"/>
        <v>91506268.632663026</v>
      </c>
      <c r="F24" s="161">
        <f t="shared" si="3"/>
        <v>95166519.377969548</v>
      </c>
      <c r="G24" s="161">
        <f t="shared" si="3"/>
        <v>98973180.153088331</v>
      </c>
    </row>
    <row r="25" spans="1:7" x14ac:dyDescent="0.25">
      <c r="A25" s="51" t="s">
        <v>425</v>
      </c>
      <c r="B25" s="136">
        <v>0</v>
      </c>
      <c r="C25" s="161">
        <f t="shared" si="3"/>
        <v>0</v>
      </c>
      <c r="D25" s="161">
        <f t="shared" si="3"/>
        <v>0</v>
      </c>
      <c r="E25" s="161">
        <f t="shared" si="3"/>
        <v>0</v>
      </c>
      <c r="F25" s="161">
        <f t="shared" si="3"/>
        <v>0</v>
      </c>
      <c r="G25" s="161">
        <f t="shared" si="3"/>
        <v>0</v>
      </c>
    </row>
    <row r="26" spans="1:7" x14ac:dyDescent="0.25">
      <c r="A26" s="54" t="s">
        <v>265</v>
      </c>
      <c r="B26" s="136">
        <v>0</v>
      </c>
      <c r="C26" s="161">
        <f t="shared" si="3"/>
        <v>0</v>
      </c>
      <c r="D26" s="161">
        <f t="shared" si="3"/>
        <v>0</v>
      </c>
      <c r="E26" s="161">
        <f t="shared" si="3"/>
        <v>0</v>
      </c>
      <c r="F26" s="161">
        <f t="shared" si="3"/>
        <v>0</v>
      </c>
      <c r="G26" s="161">
        <f t="shared" si="3"/>
        <v>0</v>
      </c>
    </row>
    <row r="27" spans="1:7" x14ac:dyDescent="0.25">
      <c r="A27" s="51" t="s">
        <v>266</v>
      </c>
      <c r="B27" s="136">
        <f>2587500+310500+593250</f>
        <v>3491250</v>
      </c>
      <c r="C27" s="161">
        <f t="shared" si="3"/>
        <v>3630900</v>
      </c>
      <c r="D27" s="161">
        <f t="shared" si="3"/>
        <v>3776136</v>
      </c>
      <c r="E27" s="161">
        <f t="shared" si="3"/>
        <v>3927181.44</v>
      </c>
      <c r="F27" s="161">
        <f t="shared" si="3"/>
        <v>4084268.6976000001</v>
      </c>
      <c r="G27" s="161">
        <f t="shared" si="3"/>
        <v>4247639.4455040004</v>
      </c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3" t="s">
        <v>426</v>
      </c>
      <c r="B29" s="139">
        <f t="shared" ref="B29:G29" si="4">B30</f>
        <v>20000000</v>
      </c>
      <c r="C29" s="139">
        <f t="shared" si="4"/>
        <v>5200000</v>
      </c>
      <c r="D29" s="139">
        <f t="shared" si="4"/>
        <v>5408000</v>
      </c>
      <c r="E29" s="139">
        <f t="shared" si="4"/>
        <v>5624320</v>
      </c>
      <c r="F29" s="139">
        <f t="shared" si="4"/>
        <v>5849292.7999999998</v>
      </c>
      <c r="G29" s="139">
        <f t="shared" si="4"/>
        <v>6083264.5120000001</v>
      </c>
    </row>
    <row r="30" spans="1:7" x14ac:dyDescent="0.25">
      <c r="A30" s="51" t="s">
        <v>269</v>
      </c>
      <c r="B30" s="136">
        <v>20000000</v>
      </c>
      <c r="C30" s="161">
        <f>5000000*4%+5000000</f>
        <v>5200000</v>
      </c>
      <c r="D30" s="161">
        <f>C30*4%+C30</f>
        <v>5408000</v>
      </c>
      <c r="E30" s="161">
        <f t="shared" ref="E30:G30" si="5">D30*4%+D30</f>
        <v>5624320</v>
      </c>
      <c r="F30" s="161">
        <f t="shared" si="5"/>
        <v>5849292.7999999998</v>
      </c>
      <c r="G30" s="161">
        <f t="shared" si="5"/>
        <v>6083264.5120000001</v>
      </c>
    </row>
    <row r="31" spans="1:7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A32" s="14" t="s">
        <v>427</v>
      </c>
      <c r="B32" s="139">
        <f t="shared" ref="B32:G32" si="6">B29+B22+B8</f>
        <v>452871523.95000005</v>
      </c>
      <c r="C32" s="139">
        <f t="shared" si="6"/>
        <v>455386384.90799999</v>
      </c>
      <c r="D32" s="139">
        <f t="shared" si="6"/>
        <v>473601840.30432004</v>
      </c>
      <c r="E32" s="139">
        <f t="shared" si="6"/>
        <v>492545913.91649282</v>
      </c>
      <c r="F32" s="139">
        <f t="shared" si="6"/>
        <v>512247750.47315252</v>
      </c>
      <c r="G32" s="139">
        <f t="shared" si="6"/>
        <v>532737660.49207866</v>
      </c>
    </row>
    <row r="33" spans="1:7" x14ac:dyDescent="0.25">
      <c r="A33" s="52"/>
      <c r="B33" s="52"/>
      <c r="C33" s="52"/>
      <c r="D33" s="52"/>
      <c r="E33" s="52"/>
      <c r="F33" s="52"/>
      <c r="G33" s="52"/>
    </row>
    <row r="34" spans="1:7" x14ac:dyDescent="0.25">
      <c r="A34" s="53" t="s">
        <v>271</v>
      </c>
      <c r="B34" s="60"/>
      <c r="C34" s="60"/>
      <c r="D34" s="60"/>
      <c r="E34" s="60"/>
      <c r="F34" s="60"/>
      <c r="G34" s="60"/>
    </row>
    <row r="35" spans="1:7" ht="30" x14ac:dyDescent="0.25">
      <c r="A35" s="55" t="s">
        <v>428</v>
      </c>
      <c r="B35" s="136">
        <f t="shared" ref="B35:G35" si="7">B30</f>
        <v>20000000</v>
      </c>
      <c r="C35" s="136">
        <f t="shared" si="7"/>
        <v>5200000</v>
      </c>
      <c r="D35" s="136">
        <f t="shared" si="7"/>
        <v>5408000</v>
      </c>
      <c r="E35" s="136">
        <f t="shared" si="7"/>
        <v>5624320</v>
      </c>
      <c r="F35" s="136">
        <f t="shared" si="7"/>
        <v>5849292.7999999998</v>
      </c>
      <c r="G35" s="136">
        <f t="shared" si="7"/>
        <v>6083264.5120000001</v>
      </c>
    </row>
    <row r="36" spans="1:7" ht="30" x14ac:dyDescent="0.25">
      <c r="A36" s="55" t="s">
        <v>273</v>
      </c>
      <c r="B36" s="136">
        <v>0</v>
      </c>
      <c r="C36" s="161">
        <f t="shared" ref="C36:G36" si="8">B36*4%+B36</f>
        <v>0</v>
      </c>
      <c r="D36" s="161">
        <f t="shared" si="8"/>
        <v>0</v>
      </c>
      <c r="E36" s="161">
        <f t="shared" si="8"/>
        <v>0</v>
      </c>
      <c r="F36" s="161">
        <f t="shared" si="8"/>
        <v>0</v>
      </c>
      <c r="G36" s="161">
        <f t="shared" si="8"/>
        <v>0</v>
      </c>
    </row>
    <row r="37" spans="1:7" x14ac:dyDescent="0.25">
      <c r="A37" s="53" t="s">
        <v>429</v>
      </c>
      <c r="B37" s="139">
        <f t="shared" ref="B37:G37" si="9">B36+B35</f>
        <v>20000000</v>
      </c>
      <c r="C37" s="139">
        <f t="shared" si="9"/>
        <v>5200000</v>
      </c>
      <c r="D37" s="139">
        <f t="shared" si="9"/>
        <v>5408000</v>
      </c>
      <c r="E37" s="139">
        <f t="shared" si="9"/>
        <v>5624320</v>
      </c>
      <c r="F37" s="139">
        <f t="shared" si="9"/>
        <v>5849292.7999999998</v>
      </c>
      <c r="G37" s="139">
        <f t="shared" si="9"/>
        <v>6083264.5120000001</v>
      </c>
    </row>
    <row r="38" spans="1:7" x14ac:dyDescent="0.25">
      <c r="A38" s="56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190120006.29000002</v>
      </c>
      <c r="Q2" s="18">
        <f>'Formato 7 a)'!C8</f>
        <v>197724806.54160002</v>
      </c>
      <c r="R2" s="18">
        <f>'Formato 7 a)'!D8</f>
        <v>205633798.80326402</v>
      </c>
      <c r="S2" s="18">
        <f>'Formato 7 a)'!E8</f>
        <v>213859150.75539458</v>
      </c>
      <c r="T2" s="18">
        <f>'Formato 7 a)'!F8</f>
        <v>222413516.78561035</v>
      </c>
      <c r="U2" s="18">
        <f>'Formato 7 a)'!G8</f>
        <v>231310057.45703477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17139871.98</v>
      </c>
      <c r="Q3" s="18">
        <f>'Formato 7 a)'!C9</f>
        <v>17825466.859200001</v>
      </c>
      <c r="R3" s="18">
        <f>'Formato 7 a)'!D9</f>
        <v>18538485.533568002</v>
      </c>
      <c r="S3" s="18">
        <f>'Formato 7 a)'!E9</f>
        <v>19280024.954910722</v>
      </c>
      <c r="T3" s="18">
        <f>'Formato 7 a)'!F9</f>
        <v>20051225.953107152</v>
      </c>
      <c r="U3" s="18">
        <f>'Formato 7 a)'!G9</f>
        <v>20853274.991231438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4683157.54</v>
      </c>
      <c r="Q5" s="18">
        <f>'Formato 7 a)'!C11</f>
        <v>4870483.8415999999</v>
      </c>
      <c r="R5" s="18">
        <f>'Formato 7 a)'!D11</f>
        <v>5065303.1952639995</v>
      </c>
      <c r="S5" s="18">
        <f>'Formato 7 a)'!E11</f>
        <v>5267915.3230745597</v>
      </c>
      <c r="T5" s="18">
        <f>'Formato 7 a)'!F11</f>
        <v>5478631.935997542</v>
      </c>
      <c r="U5" s="18">
        <f>'Formato 7 a)'!G11</f>
        <v>5697777.2134374436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24293047.43</v>
      </c>
      <c r="Q6" s="18">
        <f>'Formato 7 a)'!C12</f>
        <v>25264769.327199999</v>
      </c>
      <c r="R6" s="18">
        <f>'Formato 7 a)'!D12</f>
        <v>26275360.100288</v>
      </c>
      <c r="S6" s="18">
        <f>'Formato 7 a)'!E12</f>
        <v>27326374.504299521</v>
      </c>
      <c r="T6" s="18">
        <f>'Formato 7 a)'!F12</f>
        <v>28419429.484471504</v>
      </c>
      <c r="U6" s="18">
        <f>'Formato 7 a)'!G12</f>
        <v>29556206.663850363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3214454.9</v>
      </c>
      <c r="Q7" s="18">
        <f>'Formato 7 a)'!C13</f>
        <v>3343033.0959999999</v>
      </c>
      <c r="R7" s="18">
        <f>'Formato 7 a)'!D13</f>
        <v>3476754.4198400001</v>
      </c>
      <c r="S7" s="18">
        <f>'Formato 7 a)'!E13</f>
        <v>3615824.5966336001</v>
      </c>
      <c r="T7" s="18">
        <f>'Formato 7 a)'!F13</f>
        <v>3760457.580498944</v>
      </c>
      <c r="U7" s="18">
        <f>'Formato 7 a)'!G13</f>
        <v>3910875.8837189018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2665994.4500000002</v>
      </c>
      <c r="Q8" s="18">
        <f>'Formato 7 a)'!C14</f>
        <v>2772634.2280000001</v>
      </c>
      <c r="R8" s="18">
        <f>'Formato 7 a)'!D14</f>
        <v>2883539.59712</v>
      </c>
      <c r="S8" s="18">
        <f>'Formato 7 a)'!E14</f>
        <v>2998881.1810047999</v>
      </c>
      <c r="T8" s="18">
        <f>'Formato 7 a)'!F14</f>
        <v>3118836.4282449917</v>
      </c>
      <c r="U8" s="18">
        <f>'Formato 7 a)'!G14</f>
        <v>3243589.8853747915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135548297.79000002</v>
      </c>
      <c r="Q10" s="18">
        <f>'Formato 7 a)'!C16</f>
        <v>140970229.70160002</v>
      </c>
      <c r="R10" s="18">
        <f>'Formato 7 a)'!D16</f>
        <v>146609038.88966402</v>
      </c>
      <c r="S10" s="18">
        <f>'Formato 7 a)'!E16</f>
        <v>152473400.44525057</v>
      </c>
      <c r="T10" s="18">
        <f>'Formato 7 a)'!F16</f>
        <v>158572336.46306059</v>
      </c>
      <c r="U10" s="18">
        <f>'Formato 7 a)'!G16</f>
        <v>164915229.921583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2575182.2000000002</v>
      </c>
      <c r="Q11" s="18">
        <f>'Formato 7 a)'!C17</f>
        <v>2678189.4880000004</v>
      </c>
      <c r="R11" s="18">
        <f>'Formato 7 a)'!D17</f>
        <v>2785317.0675200005</v>
      </c>
      <c r="S11" s="18">
        <f>'Formato 7 a)'!E17</f>
        <v>2896729.7502208007</v>
      </c>
      <c r="T11" s="18">
        <f>'Formato 7 a)'!F17</f>
        <v>3012598.9402296329</v>
      </c>
      <c r="U11" s="18">
        <f>'Formato 7 a)'!G17</f>
        <v>3133102.8978388184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242751517.66000003</v>
      </c>
      <c r="Q15" s="18">
        <f>'Formato 7 a)'!C22</f>
        <v>252461578.3664</v>
      </c>
      <c r="R15" s="18">
        <f>'Formato 7 a)'!D22</f>
        <v>262560041.50105602</v>
      </c>
      <c r="S15" s="18">
        <f>'Formato 7 a)'!E22</f>
        <v>273062443.16109824</v>
      </c>
      <c r="T15" s="18">
        <f>'Formato 7 a)'!F22</f>
        <v>283984940.88754219</v>
      </c>
      <c r="U15" s="18">
        <f>'Formato 7 a)'!G22</f>
        <v>295344338.52304387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157911528.05000001</v>
      </c>
      <c r="Q16" s="18">
        <f>'Formato 7 a)'!C23</f>
        <v>164227989.17200002</v>
      </c>
      <c r="R16" s="18">
        <f>'Formato 7 a)'!D23</f>
        <v>170797108.73888001</v>
      </c>
      <c r="S16" s="18">
        <f>'Formato 7 a)'!E23</f>
        <v>177628993.0884352</v>
      </c>
      <c r="T16" s="18">
        <f>'Formato 7 a)'!F23</f>
        <v>184734152.81197262</v>
      </c>
      <c r="U16" s="18">
        <f>'Formato 7 a)'!G23</f>
        <v>192123518.92445153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81348739.609999999</v>
      </c>
      <c r="Q17" s="18">
        <f>'Formato 7 a)'!C24</f>
        <v>84602689.194399998</v>
      </c>
      <c r="R17" s="18">
        <f>'Formato 7 a)'!D24</f>
        <v>87986796.762175992</v>
      </c>
      <c r="S17" s="18">
        <f>'Formato 7 a)'!E24</f>
        <v>91506268.632663026</v>
      </c>
      <c r="T17" s="18">
        <f>'Formato 7 a)'!F24</f>
        <v>95166519.377969548</v>
      </c>
      <c r="U17" s="18">
        <f>'Formato 7 a)'!G24</f>
        <v>98973180.153088331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3491250</v>
      </c>
      <c r="Q20" s="18">
        <f>'Formato 7 a)'!C27</f>
        <v>3630900</v>
      </c>
      <c r="R20" s="18">
        <f>'Formato 7 a)'!D27</f>
        <v>3776136</v>
      </c>
      <c r="S20" s="18">
        <f>'Formato 7 a)'!E27</f>
        <v>3927181.44</v>
      </c>
      <c r="T20" s="18">
        <f>'Formato 7 a)'!F27</f>
        <v>4084268.6976000001</v>
      </c>
      <c r="U20" s="18">
        <f>'Formato 7 a)'!G27</f>
        <v>4247639.4455040004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20000000</v>
      </c>
      <c r="Q21" s="18">
        <f>'Formato 7 a)'!C29</f>
        <v>5200000</v>
      </c>
      <c r="R21" s="18">
        <f>'Formato 7 a)'!D29</f>
        <v>5408000</v>
      </c>
      <c r="S21" s="18">
        <f>'Formato 7 a)'!E29</f>
        <v>5624320</v>
      </c>
      <c r="T21" s="18">
        <f>'Formato 7 a)'!F29</f>
        <v>5849292.7999999998</v>
      </c>
      <c r="U21" s="18">
        <f>'Formato 7 a)'!G29</f>
        <v>6083264.5120000001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20000000</v>
      </c>
      <c r="Q22" s="18">
        <f>'Formato 7 a)'!C30</f>
        <v>5200000</v>
      </c>
      <c r="R22" s="18">
        <f>'Formato 7 a)'!D30</f>
        <v>5408000</v>
      </c>
      <c r="S22" s="18">
        <f>'Formato 7 a)'!E30</f>
        <v>5624320</v>
      </c>
      <c r="T22" s="18">
        <f>'Formato 7 a)'!F30</f>
        <v>5849292.7999999998</v>
      </c>
      <c r="U22" s="18">
        <f>'Formato 7 a)'!G30</f>
        <v>6083264.5120000001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452871523.95000005</v>
      </c>
      <c r="Q23" s="18">
        <f>'Formato 7 a)'!C32</f>
        <v>455386384.90799999</v>
      </c>
      <c r="R23" s="18">
        <f>'Formato 7 a)'!D32</f>
        <v>473601840.30432004</v>
      </c>
      <c r="S23" s="18">
        <f>'Formato 7 a)'!E32</f>
        <v>492545913.91649282</v>
      </c>
      <c r="T23" s="18">
        <f>'Formato 7 a)'!F32</f>
        <v>512247750.47315252</v>
      </c>
      <c r="U23" s="18">
        <f>'Formato 7 a)'!G32</f>
        <v>532737660.49207866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20000000</v>
      </c>
      <c r="Q25" s="18">
        <f>'Formato 7 a)'!C35</f>
        <v>5200000</v>
      </c>
      <c r="R25" s="18">
        <f>'Formato 7 a)'!D35</f>
        <v>5408000</v>
      </c>
      <c r="S25" s="18">
        <f>'Formato 7 a)'!E35</f>
        <v>5624320</v>
      </c>
      <c r="T25" s="18">
        <f>'Formato 7 a)'!F35</f>
        <v>5849292.7999999998</v>
      </c>
      <c r="U25" s="18">
        <f>'Formato 7 a)'!G35</f>
        <v>6083264.5120000001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20000000</v>
      </c>
      <c r="Q27" s="18">
        <f>'Formato 7 a)'!C37</f>
        <v>5200000</v>
      </c>
      <c r="R27" s="18">
        <f>'Formato 7 a)'!D37</f>
        <v>5408000</v>
      </c>
      <c r="S27" s="18">
        <f>'Formato 7 a)'!E37</f>
        <v>5624320</v>
      </c>
      <c r="T27" s="18">
        <f>'Formato 7 a)'!F37</f>
        <v>5849292.7999999998</v>
      </c>
      <c r="U27" s="18">
        <f>'Formato 7 a)'!G37</f>
        <v>6083264.5120000001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B14" sqref="B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203" t="s">
        <v>443</v>
      </c>
      <c r="B1" s="203"/>
      <c r="C1" s="203"/>
      <c r="D1" s="203"/>
      <c r="E1" s="203"/>
      <c r="F1" s="203"/>
      <c r="G1" s="203"/>
    </row>
    <row r="2" spans="1:7" customFormat="1" x14ac:dyDescent="0.2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customFormat="1" x14ac:dyDescent="0.25">
      <c r="A3" s="188" t="s">
        <v>444</v>
      </c>
      <c r="B3" s="189"/>
      <c r="C3" s="189"/>
      <c r="D3" s="189"/>
      <c r="E3" s="189"/>
      <c r="F3" s="189"/>
      <c r="G3" s="190"/>
    </row>
    <row r="4" spans="1:7" customFormat="1" x14ac:dyDescent="0.25">
      <c r="A4" s="188" t="s">
        <v>118</v>
      </c>
      <c r="B4" s="189"/>
      <c r="C4" s="189"/>
      <c r="D4" s="189"/>
      <c r="E4" s="189"/>
      <c r="F4" s="189"/>
      <c r="G4" s="190"/>
    </row>
    <row r="5" spans="1:7" customFormat="1" x14ac:dyDescent="0.25">
      <c r="A5" s="188" t="s">
        <v>415</v>
      </c>
      <c r="B5" s="189"/>
      <c r="C5" s="189"/>
      <c r="D5" s="189"/>
      <c r="E5" s="189"/>
      <c r="F5" s="189"/>
      <c r="G5" s="190"/>
    </row>
    <row r="6" spans="1:7" customFormat="1" x14ac:dyDescent="0.25">
      <c r="A6" s="215" t="s">
        <v>3134</v>
      </c>
      <c r="B6" s="49">
        <f>ANIO1P</f>
        <v>2018</v>
      </c>
      <c r="C6" s="213" t="str">
        <f>ANIO2P</f>
        <v>2019 (d)</v>
      </c>
      <c r="D6" s="213" t="str">
        <f>ANIO3P</f>
        <v>2020 (d)</v>
      </c>
      <c r="E6" s="213" t="str">
        <f>ANIO4P</f>
        <v>2021 (d)</v>
      </c>
      <c r="F6" s="213" t="str">
        <f>ANIO5P</f>
        <v>2022 (d)</v>
      </c>
      <c r="G6" s="213" t="str">
        <f>ANIO6P</f>
        <v>2023 (d)</v>
      </c>
    </row>
    <row r="7" spans="1:7" customFormat="1" ht="48" customHeight="1" x14ac:dyDescent="0.25">
      <c r="A7" s="216"/>
      <c r="B7" s="79" t="s">
        <v>3283</v>
      </c>
      <c r="C7" s="214"/>
      <c r="D7" s="214"/>
      <c r="E7" s="214"/>
      <c r="F7" s="214"/>
      <c r="G7" s="214"/>
    </row>
    <row r="8" spans="1:7" x14ac:dyDescent="0.25">
      <c r="A8" s="50" t="s">
        <v>445</v>
      </c>
      <c r="B8" s="163">
        <f>SUM(B9:B17)</f>
        <v>210120006.28999999</v>
      </c>
      <c r="C8" s="163">
        <f t="shared" ref="C8:G8" si="0">SUM(C9:C17)</f>
        <v>202924806.54159999</v>
      </c>
      <c r="D8" s="163">
        <f t="shared" si="0"/>
        <v>211041798.80326396</v>
      </c>
      <c r="E8" s="163">
        <f t="shared" si="0"/>
        <v>219483470.75539458</v>
      </c>
      <c r="F8" s="163">
        <f t="shared" si="0"/>
        <v>228262809.58561033</v>
      </c>
      <c r="G8" s="163">
        <f t="shared" si="0"/>
        <v>237393321.96903473</v>
      </c>
    </row>
    <row r="9" spans="1:7" x14ac:dyDescent="0.25">
      <c r="A9" s="51" t="s">
        <v>446</v>
      </c>
      <c r="B9" s="166">
        <v>99269623.769999996</v>
      </c>
      <c r="C9" s="168">
        <v>103240408.7208</v>
      </c>
      <c r="D9" s="169">
        <v>107370025.06963199</v>
      </c>
      <c r="E9" s="168">
        <v>111664826.07241727</v>
      </c>
      <c r="F9" s="169">
        <v>116131419.11531396</v>
      </c>
      <c r="G9" s="168">
        <v>120776675.87992652</v>
      </c>
    </row>
    <row r="10" spans="1:7" x14ac:dyDescent="0.25">
      <c r="A10" s="51" t="s">
        <v>447</v>
      </c>
      <c r="B10" s="166">
        <v>9381893.1699999999</v>
      </c>
      <c r="C10" s="168">
        <v>9757168.8968000002</v>
      </c>
      <c r="D10" s="169">
        <v>10147455.652672</v>
      </c>
      <c r="E10" s="168">
        <v>10553353.87877888</v>
      </c>
      <c r="F10" s="169">
        <v>10975488.033930035</v>
      </c>
      <c r="G10" s="168">
        <v>11414507.555287236</v>
      </c>
    </row>
    <row r="11" spans="1:7" x14ac:dyDescent="0.25">
      <c r="A11" s="51" t="s">
        <v>448</v>
      </c>
      <c r="B11" s="166">
        <v>31543816.149999999</v>
      </c>
      <c r="C11" s="168">
        <v>32805568.796</v>
      </c>
      <c r="D11" s="169">
        <v>34117791.547839999</v>
      </c>
      <c r="E11" s="168">
        <v>35482503.209753603</v>
      </c>
      <c r="F11" s="169">
        <v>36901803.338143744</v>
      </c>
      <c r="G11" s="168">
        <v>38377875.471669495</v>
      </c>
    </row>
    <row r="12" spans="1:7" x14ac:dyDescent="0.25">
      <c r="A12" s="51" t="s">
        <v>449</v>
      </c>
      <c r="B12" s="166">
        <v>32679311.199999999</v>
      </c>
      <c r="C12" s="168">
        <v>33986483.648000002</v>
      </c>
      <c r="D12" s="169">
        <v>35345942.993919998</v>
      </c>
      <c r="E12" s="168">
        <v>36759780.713676795</v>
      </c>
      <c r="F12" s="169">
        <v>38230171.942223869</v>
      </c>
      <c r="G12" s="168">
        <v>39759378.819912821</v>
      </c>
    </row>
    <row r="13" spans="1:7" x14ac:dyDescent="0.25">
      <c r="A13" s="51" t="s">
        <v>450</v>
      </c>
      <c r="B13" s="166">
        <v>849942</v>
      </c>
      <c r="C13" s="168">
        <v>883939.68</v>
      </c>
      <c r="D13" s="169">
        <v>919297.2672</v>
      </c>
      <c r="E13" s="168">
        <v>956069.15788800002</v>
      </c>
      <c r="F13" s="169">
        <v>994311.92420352006</v>
      </c>
      <c r="G13" s="168">
        <v>1034084.4011716609</v>
      </c>
    </row>
    <row r="14" spans="1:7" x14ac:dyDescent="0.25">
      <c r="A14" s="51" t="s">
        <v>451</v>
      </c>
      <c r="B14" s="166">
        <f>36395420</f>
        <v>36395420</v>
      </c>
      <c r="C14" s="168">
        <f>37851236.8-15600000</f>
        <v>22251236.799999997</v>
      </c>
      <c r="D14" s="169">
        <f>39365286.272-16224000</f>
        <v>23141286.272</v>
      </c>
      <c r="E14" s="168">
        <f>40939897.72288-16872960</f>
        <v>24066937.722879998</v>
      </c>
      <c r="F14" s="169">
        <f>42577493.6317952-17547878.4</f>
        <v>25029615.231795199</v>
      </c>
      <c r="G14" s="168">
        <f>44280593.377067-18249793.536</f>
        <v>26030799.841067001</v>
      </c>
    </row>
    <row r="15" spans="1:7" x14ac:dyDescent="0.25">
      <c r="A15" s="51" t="s">
        <v>452</v>
      </c>
      <c r="B15" s="164">
        <v>0</v>
      </c>
      <c r="C15" s="168">
        <v>0</v>
      </c>
      <c r="D15" s="169">
        <v>0</v>
      </c>
      <c r="E15" s="168">
        <v>0</v>
      </c>
      <c r="F15" s="169">
        <v>0</v>
      </c>
      <c r="G15" s="168">
        <v>0</v>
      </c>
    </row>
    <row r="16" spans="1:7" x14ac:dyDescent="0.25">
      <c r="A16" s="51" t="s">
        <v>453</v>
      </c>
      <c r="B16" s="165">
        <v>0</v>
      </c>
      <c r="C16" s="168">
        <v>0</v>
      </c>
      <c r="D16" s="169">
        <v>0</v>
      </c>
      <c r="E16" s="168">
        <v>0</v>
      </c>
      <c r="F16" s="169">
        <v>0</v>
      </c>
      <c r="G16" s="168">
        <v>0</v>
      </c>
    </row>
    <row r="17" spans="1:7" x14ac:dyDescent="0.25">
      <c r="A17" s="51" t="s">
        <v>454</v>
      </c>
      <c r="B17" s="165">
        <v>0</v>
      </c>
      <c r="C17" s="168">
        <v>0</v>
      </c>
      <c r="D17" s="169">
        <v>0</v>
      </c>
      <c r="E17" s="168">
        <v>0</v>
      </c>
      <c r="F17" s="169">
        <v>0</v>
      </c>
      <c r="G17" s="168">
        <v>0</v>
      </c>
    </row>
    <row r="18" spans="1:7" x14ac:dyDescent="0.25">
      <c r="A18" s="80"/>
      <c r="B18" s="52"/>
      <c r="C18" s="52"/>
      <c r="D18" s="52"/>
      <c r="E18" s="52"/>
      <c r="F18" s="52"/>
      <c r="G18" s="52"/>
    </row>
    <row r="19" spans="1:7" x14ac:dyDescent="0.25">
      <c r="A19" s="53" t="s">
        <v>455</v>
      </c>
      <c r="B19" s="139">
        <f>SUM(B20:B28)</f>
        <v>242751517.66</v>
      </c>
      <c r="C19" s="139">
        <f t="shared" ref="C19:G19" si="1">SUM(C20:C28)</f>
        <v>252461578.3664</v>
      </c>
      <c r="D19" s="139">
        <f t="shared" si="1"/>
        <v>262560041.50105602</v>
      </c>
      <c r="E19" s="139">
        <f t="shared" si="1"/>
        <v>273062443.1610983</v>
      </c>
      <c r="F19" s="139">
        <f t="shared" si="1"/>
        <v>283984940.88754219</v>
      </c>
      <c r="G19" s="139">
        <f t="shared" si="1"/>
        <v>295344338.52304387</v>
      </c>
    </row>
    <row r="20" spans="1:7" x14ac:dyDescent="0.25">
      <c r="A20" s="51" t="s">
        <v>446</v>
      </c>
      <c r="B20" s="166">
        <v>50341018.259999998</v>
      </c>
      <c r="C20" s="166">
        <v>52354658.990400001</v>
      </c>
      <c r="D20" s="166">
        <v>54448845.350015998</v>
      </c>
      <c r="E20" s="166">
        <v>56626799.164016634</v>
      </c>
      <c r="F20" s="166">
        <v>58891871.130577296</v>
      </c>
      <c r="G20" s="166">
        <v>61247545.975800388</v>
      </c>
    </row>
    <row r="21" spans="1:7" x14ac:dyDescent="0.25">
      <c r="A21" s="51" t="s">
        <v>447</v>
      </c>
      <c r="B21" s="166">
        <v>16341786.4</v>
      </c>
      <c r="C21" s="166">
        <v>16995457.855999999</v>
      </c>
      <c r="D21" s="166">
        <v>17675276.17024</v>
      </c>
      <c r="E21" s="166">
        <v>18382287.217049599</v>
      </c>
      <c r="F21" s="166">
        <v>19117578.705731582</v>
      </c>
      <c r="G21" s="166">
        <v>19882281.853960846</v>
      </c>
    </row>
    <row r="22" spans="1:7" x14ac:dyDescent="0.25">
      <c r="A22" s="51" t="s">
        <v>448</v>
      </c>
      <c r="B22" s="166">
        <v>21176763.350000001</v>
      </c>
      <c r="C22" s="166">
        <v>22023833.884000003</v>
      </c>
      <c r="D22" s="166">
        <v>22904787.239360005</v>
      </c>
      <c r="E22" s="166">
        <v>23820978.728934404</v>
      </c>
      <c r="F22" s="166">
        <v>24773817.878091779</v>
      </c>
      <c r="G22" s="166">
        <v>25764770.593215451</v>
      </c>
    </row>
    <row r="23" spans="1:7" x14ac:dyDescent="0.25">
      <c r="A23" s="51" t="s">
        <v>449</v>
      </c>
      <c r="B23" s="166">
        <v>2863500</v>
      </c>
      <c r="C23" s="166">
        <v>2978040</v>
      </c>
      <c r="D23" s="166">
        <v>3097161.6</v>
      </c>
      <c r="E23" s="166">
        <v>3221048.0640000002</v>
      </c>
      <c r="F23" s="166">
        <v>3349889.9865600001</v>
      </c>
      <c r="G23" s="166">
        <v>3483885.5860224003</v>
      </c>
    </row>
    <row r="24" spans="1:7" x14ac:dyDescent="0.25">
      <c r="A24" s="51" t="s">
        <v>450</v>
      </c>
      <c r="B24" s="166">
        <v>2912500</v>
      </c>
      <c r="C24" s="166">
        <v>3029000</v>
      </c>
      <c r="D24" s="166">
        <v>3150160</v>
      </c>
      <c r="E24" s="166">
        <v>3276166.4</v>
      </c>
      <c r="F24" s="166">
        <v>3407213.0559999999</v>
      </c>
      <c r="G24" s="166">
        <v>3543501.5782399997</v>
      </c>
    </row>
    <row r="25" spans="1:7" x14ac:dyDescent="0.25">
      <c r="A25" s="51" t="s">
        <v>451</v>
      </c>
      <c r="B25" s="166">
        <v>145192538.56999999</v>
      </c>
      <c r="C25" s="166">
        <v>151000240.1128</v>
      </c>
      <c r="D25" s="166">
        <v>157040249.71731201</v>
      </c>
      <c r="E25" s="166">
        <v>163321859.7060045</v>
      </c>
      <c r="F25" s="166">
        <v>169854734.09424469</v>
      </c>
      <c r="G25" s="166">
        <v>176648923.45801449</v>
      </c>
    </row>
    <row r="26" spans="1:7" x14ac:dyDescent="0.25">
      <c r="A26" s="51" t="s">
        <v>452</v>
      </c>
      <c r="B26" s="167">
        <v>0</v>
      </c>
      <c r="C26" s="166">
        <v>0</v>
      </c>
      <c r="D26" s="166">
        <v>0</v>
      </c>
      <c r="E26" s="166">
        <v>0</v>
      </c>
      <c r="F26" s="166">
        <v>0</v>
      </c>
      <c r="G26" s="166">
        <v>0</v>
      </c>
    </row>
    <row r="27" spans="1:7" x14ac:dyDescent="0.25">
      <c r="A27" s="51" t="s">
        <v>456</v>
      </c>
      <c r="B27" s="167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</row>
    <row r="28" spans="1:7" x14ac:dyDescent="0.25">
      <c r="A28" s="51" t="s">
        <v>454</v>
      </c>
      <c r="B28" s="166">
        <v>3923411.08</v>
      </c>
      <c r="C28" s="166">
        <v>4080347.5232000002</v>
      </c>
      <c r="D28" s="166">
        <v>4243561.4241280006</v>
      </c>
      <c r="E28" s="166">
        <v>4413303.8810931202</v>
      </c>
      <c r="F28" s="166">
        <v>4589836.0363368448</v>
      </c>
      <c r="G28" s="166">
        <v>4773429.4777903184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0" spans="1:7" x14ac:dyDescent="0.25">
      <c r="A30" s="53" t="s">
        <v>457</v>
      </c>
      <c r="B30" s="139">
        <f>B8+B19</f>
        <v>452871523.94999999</v>
      </c>
      <c r="C30" s="139">
        <f t="shared" ref="C30:G30" si="2">C8+C19</f>
        <v>455386384.90799999</v>
      </c>
      <c r="D30" s="139">
        <f t="shared" si="2"/>
        <v>473601840.30431998</v>
      </c>
      <c r="E30" s="139">
        <f t="shared" si="2"/>
        <v>492545913.91649288</v>
      </c>
      <c r="F30" s="139">
        <f t="shared" si="2"/>
        <v>512247750.47315252</v>
      </c>
      <c r="G30" s="139">
        <f t="shared" si="2"/>
        <v>532737660.4920786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210120006.28999999</v>
      </c>
      <c r="Q2" s="18">
        <f>'Formato 7 b)'!C8</f>
        <v>202924806.54159999</v>
      </c>
      <c r="R2" s="18">
        <f>'Formato 7 b)'!D8</f>
        <v>211041798.80326396</v>
      </c>
      <c r="S2" s="18">
        <f>'Formato 7 b)'!E8</f>
        <v>219483470.75539458</v>
      </c>
      <c r="T2" s="18">
        <f>'Formato 7 b)'!F8</f>
        <v>228262809.58561033</v>
      </c>
      <c r="U2" s="18">
        <f>'Formato 7 b)'!G8</f>
        <v>237393321.96903473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99269623.769999996</v>
      </c>
      <c r="Q3" s="18">
        <f>'Formato 7 b)'!C9</f>
        <v>103240408.7208</v>
      </c>
      <c r="R3" s="18">
        <f>'Formato 7 b)'!D9</f>
        <v>107370025.06963199</v>
      </c>
      <c r="S3" s="18">
        <f>'Formato 7 b)'!E9</f>
        <v>111664826.07241727</v>
      </c>
      <c r="T3" s="18">
        <f>'Formato 7 b)'!F9</f>
        <v>116131419.11531396</v>
      </c>
      <c r="U3" s="18">
        <f>'Formato 7 b)'!G9</f>
        <v>120776675.87992652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9381893.1699999999</v>
      </c>
      <c r="Q4" s="18">
        <f>'Formato 7 b)'!C10</f>
        <v>9757168.8968000002</v>
      </c>
      <c r="R4" s="18">
        <f>'Formato 7 b)'!D10</f>
        <v>10147455.652672</v>
      </c>
      <c r="S4" s="18">
        <f>'Formato 7 b)'!E10</f>
        <v>10553353.87877888</v>
      </c>
      <c r="T4" s="18">
        <f>'Formato 7 b)'!F10</f>
        <v>10975488.033930035</v>
      </c>
      <c r="U4" s="18">
        <f>'Formato 7 b)'!G10</f>
        <v>11414507.555287236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31543816.149999999</v>
      </c>
      <c r="Q5" s="18">
        <f>'Formato 7 b)'!C11</f>
        <v>32805568.796</v>
      </c>
      <c r="R5" s="18">
        <f>'Formato 7 b)'!D11</f>
        <v>34117791.547839999</v>
      </c>
      <c r="S5" s="18">
        <f>'Formato 7 b)'!E11</f>
        <v>35482503.209753603</v>
      </c>
      <c r="T5" s="18">
        <f>'Formato 7 b)'!F11</f>
        <v>36901803.338143744</v>
      </c>
      <c r="U5" s="18">
        <f>'Formato 7 b)'!G11</f>
        <v>38377875.471669495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32679311.199999999</v>
      </c>
      <c r="Q6" s="18">
        <f>'Formato 7 b)'!C12</f>
        <v>33986483.648000002</v>
      </c>
      <c r="R6" s="18">
        <f>'Formato 7 b)'!D12</f>
        <v>35345942.993919998</v>
      </c>
      <c r="S6" s="18">
        <f>'Formato 7 b)'!E12</f>
        <v>36759780.713676795</v>
      </c>
      <c r="T6" s="18">
        <f>'Formato 7 b)'!F12</f>
        <v>38230171.942223869</v>
      </c>
      <c r="U6" s="18">
        <f>'Formato 7 b)'!G12</f>
        <v>39759378.819912821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849942</v>
      </c>
      <c r="Q7" s="18">
        <f>'Formato 7 b)'!C13</f>
        <v>883939.68</v>
      </c>
      <c r="R7" s="18">
        <f>'Formato 7 b)'!D13</f>
        <v>919297.2672</v>
      </c>
      <c r="S7" s="18">
        <f>'Formato 7 b)'!E13</f>
        <v>956069.15788800002</v>
      </c>
      <c r="T7" s="18">
        <f>'Formato 7 b)'!F13</f>
        <v>994311.92420352006</v>
      </c>
      <c r="U7" s="18">
        <f>'Formato 7 b)'!G13</f>
        <v>1034084.4011716609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36395420</v>
      </c>
      <c r="Q8" s="18">
        <f>'Formato 7 b)'!C14</f>
        <v>22251236.799999997</v>
      </c>
      <c r="R8" s="18">
        <f>'Formato 7 b)'!D14</f>
        <v>23141286.272</v>
      </c>
      <c r="S8" s="18">
        <f>'Formato 7 b)'!E14</f>
        <v>24066937.722879998</v>
      </c>
      <c r="T8" s="18">
        <f>'Formato 7 b)'!F14</f>
        <v>25029615.231795199</v>
      </c>
      <c r="U8" s="18">
        <f>'Formato 7 b)'!G14</f>
        <v>26030799.841067001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242751517.66</v>
      </c>
      <c r="Q12" s="18">
        <f>'Formato 7 b)'!C19</f>
        <v>252461578.3664</v>
      </c>
      <c r="R12" s="18">
        <f>'Formato 7 b)'!D19</f>
        <v>262560041.50105602</v>
      </c>
      <c r="S12" s="18">
        <f>'Formato 7 b)'!E19</f>
        <v>273062443.1610983</v>
      </c>
      <c r="T12" s="18">
        <f>'Formato 7 b)'!F19</f>
        <v>283984940.88754219</v>
      </c>
      <c r="U12" s="18">
        <f>'Formato 7 b)'!G19</f>
        <v>295344338.52304387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50341018.259999998</v>
      </c>
      <c r="Q13" s="18">
        <f>'Formato 7 b)'!C20</f>
        <v>52354658.990400001</v>
      </c>
      <c r="R13" s="18">
        <f>'Formato 7 b)'!D20</f>
        <v>54448845.350015998</v>
      </c>
      <c r="S13" s="18">
        <f>'Formato 7 b)'!E20</f>
        <v>56626799.164016634</v>
      </c>
      <c r="T13" s="18">
        <f>'Formato 7 b)'!F20</f>
        <v>58891871.130577296</v>
      </c>
      <c r="U13" s="18">
        <f>'Formato 7 b)'!G20</f>
        <v>61247545.975800388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16341786.4</v>
      </c>
      <c r="Q14" s="18">
        <f>'Formato 7 b)'!C21</f>
        <v>16995457.855999999</v>
      </c>
      <c r="R14" s="18">
        <f>'Formato 7 b)'!D21</f>
        <v>17675276.17024</v>
      </c>
      <c r="S14" s="18">
        <f>'Formato 7 b)'!E21</f>
        <v>18382287.217049599</v>
      </c>
      <c r="T14" s="18">
        <f>'Formato 7 b)'!F21</f>
        <v>19117578.705731582</v>
      </c>
      <c r="U14" s="18">
        <f>'Formato 7 b)'!G21</f>
        <v>19882281.853960846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21176763.350000001</v>
      </c>
      <c r="Q15" s="18">
        <f>'Formato 7 b)'!C22</f>
        <v>22023833.884000003</v>
      </c>
      <c r="R15" s="18">
        <f>'Formato 7 b)'!D22</f>
        <v>22904787.239360005</v>
      </c>
      <c r="S15" s="18">
        <f>'Formato 7 b)'!E22</f>
        <v>23820978.728934404</v>
      </c>
      <c r="T15" s="18">
        <f>'Formato 7 b)'!F22</f>
        <v>24773817.878091779</v>
      </c>
      <c r="U15" s="18">
        <f>'Formato 7 b)'!G22</f>
        <v>25764770.593215451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2863500</v>
      </c>
      <c r="Q16" s="18">
        <f>'Formato 7 b)'!C23</f>
        <v>2978040</v>
      </c>
      <c r="R16" s="18">
        <f>'Formato 7 b)'!D23</f>
        <v>3097161.6</v>
      </c>
      <c r="S16" s="18">
        <f>'Formato 7 b)'!E23</f>
        <v>3221048.0640000002</v>
      </c>
      <c r="T16" s="18">
        <f>'Formato 7 b)'!F23</f>
        <v>3349889.9865600001</v>
      </c>
      <c r="U16" s="18">
        <f>'Formato 7 b)'!G23</f>
        <v>3483885.5860224003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2912500</v>
      </c>
      <c r="Q17" s="18">
        <f>'Formato 7 b)'!C24</f>
        <v>3029000</v>
      </c>
      <c r="R17" s="18">
        <f>'Formato 7 b)'!D24</f>
        <v>3150160</v>
      </c>
      <c r="S17" s="18">
        <f>'Formato 7 b)'!E24</f>
        <v>3276166.4</v>
      </c>
      <c r="T17" s="18">
        <f>'Formato 7 b)'!F24</f>
        <v>3407213.0559999999</v>
      </c>
      <c r="U17" s="18">
        <f>'Formato 7 b)'!G24</f>
        <v>3543501.5782399997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145192538.56999999</v>
      </c>
      <c r="Q18" s="18">
        <f>'Formato 7 b)'!C25</f>
        <v>151000240.1128</v>
      </c>
      <c r="R18" s="18">
        <f>'Formato 7 b)'!D25</f>
        <v>157040249.71731201</v>
      </c>
      <c r="S18" s="18">
        <f>'Formato 7 b)'!E25</f>
        <v>163321859.7060045</v>
      </c>
      <c r="T18" s="18">
        <f>'Formato 7 b)'!F25</f>
        <v>169854734.09424469</v>
      </c>
      <c r="U18" s="18">
        <f>'Formato 7 b)'!G25</f>
        <v>176648923.45801449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3923411.08</v>
      </c>
      <c r="Q21" s="18">
        <f>'Formato 7 b)'!C28</f>
        <v>4080347.5232000002</v>
      </c>
      <c r="R21" s="18">
        <f>'Formato 7 b)'!D28</f>
        <v>4243561.4241280006</v>
      </c>
      <c r="S21" s="18">
        <f>'Formato 7 b)'!E28</f>
        <v>4413303.8810931202</v>
      </c>
      <c r="T21" s="18">
        <f>'Formato 7 b)'!F28</f>
        <v>4589836.0363368448</v>
      </c>
      <c r="U21" s="18">
        <f>'Formato 7 b)'!G28</f>
        <v>4773429.4777903184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452871523.94999999</v>
      </c>
      <c r="Q22" s="18">
        <f>'Formato 7 b)'!C30</f>
        <v>455386384.90799999</v>
      </c>
      <c r="R22" s="18">
        <f>'Formato 7 b)'!D30</f>
        <v>473601840.30431998</v>
      </c>
      <c r="S22" s="18">
        <f>'Formato 7 b)'!E30</f>
        <v>492545913.91649288</v>
      </c>
      <c r="T22" s="18">
        <f>'Formato 7 b)'!F30</f>
        <v>512247750.47315252</v>
      </c>
      <c r="U22" s="18">
        <f>'Formato 7 b)'!G30</f>
        <v>532737660.4920786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activeCell="E16" sqref="E1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82" customFormat="1" ht="37.5" customHeight="1" x14ac:dyDescent="0.25">
      <c r="A1" s="203" t="s">
        <v>458</v>
      </c>
      <c r="B1" s="203"/>
      <c r="C1" s="203"/>
      <c r="D1" s="203"/>
      <c r="E1" s="203"/>
      <c r="F1" s="203"/>
      <c r="G1" s="203"/>
    </row>
    <row r="2" spans="1:7" x14ac:dyDescent="0.2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x14ac:dyDescent="0.25">
      <c r="A3" s="188" t="s">
        <v>459</v>
      </c>
      <c r="B3" s="189"/>
      <c r="C3" s="189"/>
      <c r="D3" s="189"/>
      <c r="E3" s="189"/>
      <c r="F3" s="189"/>
      <c r="G3" s="190"/>
    </row>
    <row r="4" spans="1:7" x14ac:dyDescent="0.25">
      <c r="A4" s="194" t="s">
        <v>118</v>
      </c>
      <c r="B4" s="195"/>
      <c r="C4" s="195"/>
      <c r="D4" s="195"/>
      <c r="E4" s="195"/>
      <c r="F4" s="195"/>
      <c r="G4" s="196"/>
    </row>
    <row r="5" spans="1:7" x14ac:dyDescent="0.25">
      <c r="A5" s="220" t="s">
        <v>3280</v>
      </c>
      <c r="B5" s="218" t="str">
        <f>ANIO5R</f>
        <v>2012 ¹ (c)</v>
      </c>
      <c r="C5" s="218" t="str">
        <f>ANIO4R</f>
        <v>2013 ¹ (c)</v>
      </c>
      <c r="D5" s="218" t="str">
        <f>ANIO3R</f>
        <v>2014 ¹ (c)</v>
      </c>
      <c r="E5" s="218" t="str">
        <f>ANIO2R</f>
        <v>2015 ¹ (c)</v>
      </c>
      <c r="F5" s="218" t="str">
        <f>ANIO1R</f>
        <v>2016 ¹ (c)</v>
      </c>
      <c r="G5" s="49">
        <f>ANIO_INFORME</f>
        <v>2017</v>
      </c>
    </row>
    <row r="6" spans="1:7" ht="32.1" customHeight="1" x14ac:dyDescent="0.25">
      <c r="A6" s="221"/>
      <c r="B6" s="219"/>
      <c r="C6" s="219"/>
      <c r="D6" s="219"/>
      <c r="E6" s="219"/>
      <c r="F6" s="219"/>
      <c r="G6" s="79" t="s">
        <v>3286</v>
      </c>
    </row>
    <row r="7" spans="1:7" x14ac:dyDescent="0.25">
      <c r="A7" s="50" t="s">
        <v>460</v>
      </c>
      <c r="B7" s="163">
        <f>SUM(B8:B19)</f>
        <v>162761603.60000002</v>
      </c>
      <c r="C7" s="163">
        <f>SUM(C8:C19)</f>
        <v>137570004.35999998</v>
      </c>
      <c r="D7" s="163">
        <f>SUM(D8:D19)</f>
        <v>149120403.18000001</v>
      </c>
      <c r="E7" s="57">
        <f t="shared" ref="E7" si="0">SUM(E8:E19)</f>
        <v>146198728.30999997</v>
      </c>
      <c r="F7" s="163">
        <f>SUM(F8:F19)</f>
        <v>169441008.04999998</v>
      </c>
      <c r="G7" s="163">
        <f>SUM(G8:G19)</f>
        <v>187988678.62</v>
      </c>
    </row>
    <row r="8" spans="1:7" x14ac:dyDescent="0.25">
      <c r="A8" s="51" t="s">
        <v>461</v>
      </c>
      <c r="B8" s="137">
        <v>12523060.130000001</v>
      </c>
      <c r="C8" s="137">
        <v>13298126.51</v>
      </c>
      <c r="D8" s="137">
        <v>13176918.470000001</v>
      </c>
      <c r="E8" s="170">
        <v>15001560.930000002</v>
      </c>
      <c r="F8" s="172">
        <v>15040551.369999999</v>
      </c>
      <c r="G8" s="170">
        <v>17418028.440000001</v>
      </c>
    </row>
    <row r="9" spans="1:7" x14ac:dyDescent="0.25">
      <c r="A9" s="51" t="s">
        <v>462</v>
      </c>
      <c r="B9" s="137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</row>
    <row r="10" spans="1:7" x14ac:dyDescent="0.25">
      <c r="A10" s="51" t="s">
        <v>463</v>
      </c>
      <c r="B10" s="137">
        <v>1547775.72</v>
      </c>
      <c r="C10" s="137">
        <v>710788.17</v>
      </c>
      <c r="D10" s="137">
        <v>385542</v>
      </c>
      <c r="E10" s="173">
        <v>142005</v>
      </c>
      <c r="F10" s="171">
        <v>187717</v>
      </c>
      <c r="G10" s="170">
        <v>304400</v>
      </c>
    </row>
    <row r="11" spans="1:7" x14ac:dyDescent="0.25">
      <c r="A11" s="51" t="s">
        <v>464</v>
      </c>
      <c r="B11" s="137">
        <v>9698836.2400000002</v>
      </c>
      <c r="C11" s="137">
        <v>10444354.550000001</v>
      </c>
      <c r="D11" s="137">
        <v>10209496.880000001</v>
      </c>
      <c r="E11" s="173">
        <v>11396868.09</v>
      </c>
      <c r="F11" s="171">
        <v>20329496.73</v>
      </c>
      <c r="G11" s="170">
        <v>23896599.329999998</v>
      </c>
    </row>
    <row r="12" spans="1:7" x14ac:dyDescent="0.25">
      <c r="A12" s="51" t="s">
        <v>465</v>
      </c>
      <c r="B12" s="137">
        <v>6188584.8499999996</v>
      </c>
      <c r="C12" s="137">
        <v>7611388.4400000004</v>
      </c>
      <c r="D12" s="137">
        <v>2843167.21</v>
      </c>
      <c r="E12" s="173">
        <v>2187891.75</v>
      </c>
      <c r="F12" s="171">
        <v>2751825.94</v>
      </c>
      <c r="G12" s="170">
        <v>3596206.82</v>
      </c>
    </row>
    <row r="13" spans="1:7" x14ac:dyDescent="0.25">
      <c r="A13" s="54" t="s">
        <v>466</v>
      </c>
      <c r="B13" s="137">
        <v>10343870.529999999</v>
      </c>
      <c r="C13" s="137">
        <v>6300906.7699999996</v>
      </c>
      <c r="D13" s="137">
        <v>6199653.6699999999</v>
      </c>
      <c r="E13" s="173">
        <f>2103030.72+718935</f>
        <v>2821965.72</v>
      </c>
      <c r="F13" s="171">
        <v>2643629.5099999998</v>
      </c>
      <c r="G13" s="170">
        <v>1771060.76</v>
      </c>
    </row>
    <row r="14" spans="1:7" x14ac:dyDescent="0.25">
      <c r="A14" s="51" t="s">
        <v>467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x14ac:dyDescent="0.25">
      <c r="A15" s="51" t="s">
        <v>468</v>
      </c>
      <c r="B15" s="58">
        <f>91783077.26-B16</f>
        <v>89780937.49000001</v>
      </c>
      <c r="C15" s="58">
        <f>98468161.92-C16</f>
        <v>96549159.439999998</v>
      </c>
      <c r="D15" s="58">
        <f>105191187.36-D16</f>
        <v>103430419.01000001</v>
      </c>
      <c r="E15" s="58">
        <f>110711588.16-E16</f>
        <v>108760072.39999999</v>
      </c>
      <c r="F15" s="58">
        <f>125533971.19-F16</f>
        <v>123127586.3</v>
      </c>
      <c r="G15" s="58">
        <f>136162502.13-G16</f>
        <v>133446883.19</v>
      </c>
    </row>
    <row r="16" spans="1:7" x14ac:dyDescent="0.25">
      <c r="A16" s="51" t="s">
        <v>469</v>
      </c>
      <c r="B16" s="58">
        <f>337357.3+573418.38+1091364.09</f>
        <v>2002139.77</v>
      </c>
      <c r="C16" s="58">
        <f>486991.74+1143532.62+288478.12</f>
        <v>1919002.48</v>
      </c>
      <c r="D16" s="58">
        <f>1204341.05+87964.46+468462.84</f>
        <v>1760768.35</v>
      </c>
      <c r="E16" s="58">
        <f>40398.12+670252.96+974113.7+266750.98</f>
        <v>1951515.7599999998</v>
      </c>
      <c r="F16" s="58">
        <f>246780.36+1366887.08+775592.21+17125.24</f>
        <v>2406384.89</v>
      </c>
      <c r="G16" s="58">
        <f>756637.28+26752.54+252885.48+1679343.64</f>
        <v>2715618.94</v>
      </c>
    </row>
    <row r="17" spans="1:7" x14ac:dyDescent="0.25">
      <c r="A17" s="51" t="s">
        <v>3290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51" t="s">
        <v>470</v>
      </c>
      <c r="B18" s="58">
        <f>30005950</f>
        <v>30005950</v>
      </c>
      <c r="C18" s="58">
        <f>597698+138580</f>
        <v>736278</v>
      </c>
      <c r="D18" s="58">
        <v>7249868.1100000003</v>
      </c>
      <c r="E18" s="58">
        <v>1753848.66</v>
      </c>
      <c r="F18" s="58">
        <v>1354522.27</v>
      </c>
      <c r="G18" s="58">
        <v>2739878.15</v>
      </c>
    </row>
    <row r="19" spans="1:7" x14ac:dyDescent="0.25">
      <c r="A19" s="51" t="s">
        <v>471</v>
      </c>
      <c r="B19" s="58">
        <v>670448.87</v>
      </c>
      <c r="C19" s="137">
        <v>0</v>
      </c>
      <c r="D19" s="58">
        <v>3864569.48</v>
      </c>
      <c r="E19" s="58">
        <v>2183000</v>
      </c>
      <c r="F19" s="58">
        <v>1599294.04</v>
      </c>
      <c r="G19" s="58">
        <v>2100002.9900000002</v>
      </c>
    </row>
    <row r="20" spans="1:7" x14ac:dyDescent="0.25">
      <c r="A20" s="52"/>
      <c r="B20" s="52"/>
      <c r="C20" s="52"/>
      <c r="D20" s="52"/>
      <c r="E20" s="52"/>
      <c r="F20" s="52"/>
      <c r="G20" s="52"/>
    </row>
    <row r="21" spans="1:7" x14ac:dyDescent="0.25">
      <c r="A21" s="53" t="s">
        <v>477</v>
      </c>
      <c r="B21" s="59">
        <f>SUM(B22:B26)</f>
        <v>153430665.94</v>
      </c>
      <c r="C21" s="59">
        <f t="shared" ref="C21:G21" si="1">SUM(C22:C26)</f>
        <v>190521611.31999999</v>
      </c>
      <c r="D21" s="59">
        <f t="shared" si="1"/>
        <v>184973232.32000002</v>
      </c>
      <c r="E21" s="59">
        <f t="shared" si="1"/>
        <v>154220837.69</v>
      </c>
      <c r="F21" s="59">
        <f t="shared" si="1"/>
        <v>213302573.69999999</v>
      </c>
      <c r="G21" s="59">
        <f t="shared" si="1"/>
        <v>233008331.42000002</v>
      </c>
    </row>
    <row r="22" spans="1:7" x14ac:dyDescent="0.25">
      <c r="A22" s="51" t="s">
        <v>472</v>
      </c>
      <c r="B22" s="58">
        <f>63486835+52680886</f>
        <v>116167721</v>
      </c>
      <c r="C22" s="58">
        <f>57409848+68149517</f>
        <v>125559365</v>
      </c>
      <c r="D22" s="58">
        <f>61216008+72227561</f>
        <v>133443569</v>
      </c>
      <c r="E22" s="58">
        <f>61759227+72710347</f>
        <v>134469574</v>
      </c>
      <c r="F22" s="58">
        <f>63554837+76071469</f>
        <v>139626306</v>
      </c>
      <c r="G22" s="58">
        <v>151367358</v>
      </c>
    </row>
    <row r="23" spans="1:7" x14ac:dyDescent="0.25">
      <c r="A23" s="51" t="s">
        <v>473</v>
      </c>
      <c r="B23" s="58">
        <f>24545736.11+10344049.22+510011.56</f>
        <v>35399796.890000001</v>
      </c>
      <c r="C23" s="58">
        <f>47240131.76+12445092.95</f>
        <v>59685224.709999993</v>
      </c>
      <c r="D23" s="58">
        <v>49939228.109999999</v>
      </c>
      <c r="E23" s="58">
        <f>18427321.19</f>
        <v>18427321.190000001</v>
      </c>
      <c r="F23" s="23">
        <v>71558208.010000005</v>
      </c>
      <c r="G23" s="58">
        <v>77474589.400000006</v>
      </c>
    </row>
    <row r="24" spans="1:7" x14ac:dyDescent="0.25">
      <c r="A24" s="51" t="s">
        <v>474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7" x14ac:dyDescent="0.25">
      <c r="A25" s="51" t="s">
        <v>475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7" x14ac:dyDescent="0.25">
      <c r="A26" s="51" t="s">
        <v>476</v>
      </c>
      <c r="B26" s="136">
        <f>282650.63+607953.49+972543.93</f>
        <v>1863148.05</v>
      </c>
      <c r="C26" s="58">
        <f>4164336.33+779312.76+53221.33+280151.19</f>
        <v>5277021.6100000003</v>
      </c>
      <c r="D26" s="58">
        <f>1326247.64+129208+134979.57</f>
        <v>1590435.21</v>
      </c>
      <c r="E26" s="58">
        <f>1241678.69+1392+80871.81</f>
        <v>1323942.5</v>
      </c>
      <c r="F26" s="58">
        <f>1678677.46+235202.23+204180</f>
        <v>2118059.69</v>
      </c>
      <c r="G26" s="136">
        <v>4166384.02</v>
      </c>
    </row>
    <row r="27" spans="1:7" x14ac:dyDescent="0.25">
      <c r="A27" s="52"/>
      <c r="B27" s="52"/>
      <c r="C27" s="52"/>
      <c r="D27" s="52"/>
      <c r="E27" s="52"/>
      <c r="F27" s="52"/>
      <c r="G27" s="52"/>
    </row>
    <row r="28" spans="1:7" x14ac:dyDescent="0.25">
      <c r="A28" s="53" t="s">
        <v>478</v>
      </c>
      <c r="B28" s="59">
        <f>B29</f>
        <v>101722812.80000001</v>
      </c>
      <c r="C28" s="59">
        <f t="shared" ref="C28" si="2">C29</f>
        <v>19550928.799999997</v>
      </c>
      <c r="D28" s="59">
        <f>D29</f>
        <v>61832514.25</v>
      </c>
      <c r="E28" s="59">
        <f>E29</f>
        <v>87496538.079999998</v>
      </c>
      <c r="F28" s="59">
        <f>F29</f>
        <v>51208547.120000005</v>
      </c>
      <c r="G28" s="139">
        <f>G29</f>
        <v>76887958.479999989</v>
      </c>
    </row>
    <row r="29" spans="1:7" x14ac:dyDescent="0.25">
      <c r="A29" s="51" t="s">
        <v>269</v>
      </c>
      <c r="B29" s="58">
        <f t="shared" ref="B29:G29" si="3">B36</f>
        <v>101722812.80000001</v>
      </c>
      <c r="C29" s="58">
        <f t="shared" si="3"/>
        <v>19550928.799999997</v>
      </c>
      <c r="D29" s="58">
        <f t="shared" si="3"/>
        <v>61832514.25</v>
      </c>
      <c r="E29" s="58">
        <f t="shared" si="3"/>
        <v>87496538.079999998</v>
      </c>
      <c r="F29" s="58">
        <f t="shared" si="3"/>
        <v>51208547.120000005</v>
      </c>
      <c r="G29" s="136">
        <f t="shared" si="3"/>
        <v>76887958.479999989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3" t="s">
        <v>479</v>
      </c>
      <c r="B31" s="139">
        <f>B7+B21+B28</f>
        <v>417915082.34000003</v>
      </c>
      <c r="C31" s="139">
        <f t="shared" ref="C31:G31" si="4">C7+C21+C28</f>
        <v>347642544.47999996</v>
      </c>
      <c r="D31" s="139">
        <f t="shared" si="4"/>
        <v>395926149.75</v>
      </c>
      <c r="E31" s="59">
        <f t="shared" si="4"/>
        <v>387916104.07999998</v>
      </c>
      <c r="F31" s="139">
        <f t="shared" si="4"/>
        <v>433952128.87</v>
      </c>
      <c r="G31" s="139">
        <f t="shared" si="4"/>
        <v>497884968.51999998</v>
      </c>
    </row>
    <row r="32" spans="1:7" x14ac:dyDescent="0.25">
      <c r="A32" s="52"/>
      <c r="B32" s="52"/>
      <c r="C32" s="52"/>
      <c r="D32" s="52"/>
      <c r="E32" s="52"/>
      <c r="F32" s="52"/>
      <c r="G32" s="52"/>
    </row>
    <row r="33" spans="1:7" x14ac:dyDescent="0.25">
      <c r="A33" s="53" t="s">
        <v>271</v>
      </c>
      <c r="B33" s="52"/>
      <c r="C33" s="52"/>
      <c r="D33" s="52"/>
      <c r="E33" s="52"/>
      <c r="F33" s="52"/>
      <c r="G33" s="52"/>
    </row>
    <row r="34" spans="1:7" ht="30" x14ac:dyDescent="0.25">
      <c r="A34" s="55" t="s">
        <v>428</v>
      </c>
      <c r="B34" s="58">
        <f>20002160.57+6352202.89</f>
        <v>26354363.460000001</v>
      </c>
      <c r="C34" s="58">
        <f>849906.11+10424604.91</f>
        <v>11274511.02</v>
      </c>
      <c r="D34" s="58">
        <v>13203041.060000001</v>
      </c>
      <c r="E34" s="58">
        <v>8761051.9700000007</v>
      </c>
      <c r="F34" s="58">
        <v>6345363.5599999996</v>
      </c>
      <c r="G34" s="136">
        <v>8024829.0700000003</v>
      </c>
    </row>
    <row r="35" spans="1:7" ht="30" x14ac:dyDescent="0.25">
      <c r="A35" s="55" t="s">
        <v>480</v>
      </c>
      <c r="B35" s="58">
        <f>2544597.94+9782956.49+63040894.91</f>
        <v>75368449.340000004</v>
      </c>
      <c r="C35" s="58">
        <f>2290025.6+5986392.18</f>
        <v>8276417.7799999993</v>
      </c>
      <c r="D35" s="58">
        <v>48629473.189999998</v>
      </c>
      <c r="E35" s="58">
        <f>87496538.08-E34</f>
        <v>78735486.109999999</v>
      </c>
      <c r="F35" s="58">
        <v>44863183.560000002</v>
      </c>
      <c r="G35" s="136">
        <v>68863129.409999996</v>
      </c>
    </row>
    <row r="36" spans="1:7" x14ac:dyDescent="0.25">
      <c r="A36" s="53" t="s">
        <v>481</v>
      </c>
      <c r="B36" s="59">
        <f>B34+B35</f>
        <v>101722812.80000001</v>
      </c>
      <c r="C36" s="59">
        <f t="shared" ref="C36:G36" si="5">C34+C35</f>
        <v>19550928.799999997</v>
      </c>
      <c r="D36" s="59">
        <f t="shared" si="5"/>
        <v>61832514.25</v>
      </c>
      <c r="E36" s="59">
        <f t="shared" si="5"/>
        <v>87496538.079999998</v>
      </c>
      <c r="F36" s="59">
        <f t="shared" si="5"/>
        <v>51208547.120000005</v>
      </c>
      <c r="G36" s="139">
        <f t="shared" si="5"/>
        <v>76887958.479999989</v>
      </c>
    </row>
    <row r="37" spans="1:7" x14ac:dyDescent="0.25">
      <c r="A37" s="63"/>
      <c r="B37" s="63"/>
      <c r="C37" s="63"/>
      <c r="D37" s="63"/>
      <c r="E37" s="63"/>
      <c r="F37" s="63"/>
      <c r="G37" s="63"/>
    </row>
    <row r="38" spans="1:7" x14ac:dyDescent="0.25">
      <c r="A38" s="81"/>
    </row>
    <row r="39" spans="1:7" ht="15" customHeight="1" x14ac:dyDescent="0.25">
      <c r="A39" s="217" t="s">
        <v>3284</v>
      </c>
      <c r="B39" s="217"/>
      <c r="C39" s="217"/>
      <c r="D39" s="217"/>
      <c r="E39" s="217"/>
      <c r="F39" s="217"/>
      <c r="G39" s="217"/>
    </row>
    <row r="40" spans="1:7" ht="15" customHeight="1" x14ac:dyDescent="0.25">
      <c r="A40" s="217" t="s">
        <v>3285</v>
      </c>
      <c r="B40" s="217"/>
      <c r="C40" s="217"/>
      <c r="D40" s="217"/>
      <c r="E40" s="217"/>
      <c r="F40" s="217"/>
      <c r="G40" s="217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F24:F36 G7:G36 F10:F22 B10:E36 B7:F8">
      <formula1>-1.79769313486231E+100</formula1>
      <formula2>1.79769313486231E+100</formula2>
    </dataValidation>
  </dataValidation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162761603.60000002</v>
      </c>
      <c r="Q2" s="18">
        <f>'Formato 7 c)'!C7</f>
        <v>137570004.35999998</v>
      </c>
      <c r="R2" s="18">
        <f>'Formato 7 c)'!D7</f>
        <v>149120403.18000001</v>
      </c>
      <c r="S2" s="18">
        <f>'Formato 7 c)'!E7</f>
        <v>146198728.30999997</v>
      </c>
      <c r="T2" s="18">
        <f>'Formato 7 c)'!F7</f>
        <v>169441008.04999998</v>
      </c>
      <c r="U2" s="18">
        <f>'Formato 7 c)'!G7</f>
        <v>187988678.62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12523060.130000001</v>
      </c>
      <c r="Q3" s="18">
        <f>'Formato 7 c)'!C8</f>
        <v>13298126.51</v>
      </c>
      <c r="R3" s="18">
        <f>'Formato 7 c)'!D8</f>
        <v>13176918.470000001</v>
      </c>
      <c r="S3" s="18">
        <f>'Formato 7 c)'!E8</f>
        <v>15001560.930000002</v>
      </c>
      <c r="T3" s="18">
        <f>'Formato 7 c)'!F8</f>
        <v>15040551.369999999</v>
      </c>
      <c r="U3" s="18">
        <f>'Formato 7 c)'!G8</f>
        <v>17418028.440000001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c)'!B10</f>
        <v>1547775.72</v>
      </c>
      <c r="Q4" s="18">
        <f>'Formato 7 c)'!C10</f>
        <v>710788.17</v>
      </c>
      <c r="R4" s="18">
        <f>'Formato 7 c)'!D10</f>
        <v>385542</v>
      </c>
      <c r="S4" s="18">
        <f>'Formato 7 c)'!E10</f>
        <v>142005</v>
      </c>
      <c r="T4" s="18">
        <f>'Formato 7 c)'!F10</f>
        <v>187717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c)'!B11</f>
        <v>9698836.2400000002</v>
      </c>
      <c r="Q5" s="18">
        <f>'Formato 7 c)'!C11</f>
        <v>10444354.550000001</v>
      </c>
      <c r="R5" s="18">
        <f>'Formato 7 c)'!D11</f>
        <v>10209496.880000001</v>
      </c>
      <c r="S5" s="18">
        <f>'Formato 7 c)'!E11</f>
        <v>11396868.09</v>
      </c>
      <c r="T5" s="18">
        <f>'Formato 7 c)'!F11</f>
        <v>20329496.73</v>
      </c>
      <c r="U5" s="18">
        <f>'Formato 7 c)'!G10</f>
        <v>304400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c)'!B12</f>
        <v>6188584.8499999996</v>
      </c>
      <c r="Q6" s="18">
        <f>'Formato 7 c)'!C12</f>
        <v>7611388.4400000004</v>
      </c>
      <c r="R6" s="18">
        <f>'Formato 7 c)'!D12</f>
        <v>2843167.21</v>
      </c>
      <c r="S6" s="18">
        <f>'Formato 7 c)'!E12</f>
        <v>2187891.75</v>
      </c>
      <c r="T6" s="18">
        <f>'Formato 7 c)'!F12</f>
        <v>2751825.94</v>
      </c>
      <c r="U6" s="18">
        <f>'Formato 7 c)'!G11</f>
        <v>23896599.329999998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c)'!B13</f>
        <v>10343870.529999999</v>
      </c>
      <c r="Q7" s="18">
        <f>'Formato 7 c)'!C13</f>
        <v>6300906.7699999996</v>
      </c>
      <c r="R7" s="18">
        <f>'Formato 7 c)'!D13</f>
        <v>6199653.6699999999</v>
      </c>
      <c r="S7" s="18">
        <f>'Formato 7 c)'!E13</f>
        <v>2821965.72</v>
      </c>
      <c r="T7" s="18">
        <f>'Formato 7 c)'!F13</f>
        <v>2643629.5099999998</v>
      </c>
      <c r="U7" s="18">
        <f>'Formato 7 c)'!G12</f>
        <v>3596206.82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 t="e">
        <f>'Formato 7 c)'!#REF!</f>
        <v>#REF!</v>
      </c>
      <c r="Q8" s="18" t="e">
        <f>'Formato 7 c)'!#REF!</f>
        <v>#REF!</v>
      </c>
      <c r="R8" s="18" t="e">
        <f>'Formato 7 c)'!#REF!</f>
        <v>#REF!</v>
      </c>
      <c r="S8" s="18" t="e">
        <f>'Formato 7 c)'!#REF!</f>
        <v>#REF!</v>
      </c>
      <c r="T8" s="18" t="e">
        <f>'Formato 7 c)'!#REF!</f>
        <v>#REF!</v>
      </c>
      <c r="U8" s="18">
        <f>'Formato 7 c)'!G13</f>
        <v>1771060.76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89780937.49000001</v>
      </c>
      <c r="Q10" s="18">
        <f>'Formato 7 c)'!C15</f>
        <v>96549159.439999998</v>
      </c>
      <c r="R10" s="18">
        <f>'Formato 7 c)'!D15</f>
        <v>103430419.01000001</v>
      </c>
      <c r="S10" s="18">
        <f>'Formato 7 c)'!E15</f>
        <v>108760072.39999999</v>
      </c>
      <c r="T10" s="18">
        <f>'Formato 7 c)'!F15</f>
        <v>123127586.3</v>
      </c>
      <c r="U10" s="18">
        <f>'Formato 7 c)'!G15</f>
        <v>133446883.19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2002139.77</v>
      </c>
      <c r="Q11" s="18">
        <f>'Formato 7 c)'!C16</f>
        <v>1919002.48</v>
      </c>
      <c r="R11" s="18">
        <f>'Formato 7 c)'!D16</f>
        <v>1760768.35</v>
      </c>
      <c r="S11" s="18">
        <f>'Formato 7 c)'!E16</f>
        <v>1951515.7599999998</v>
      </c>
      <c r="T11" s="18">
        <f>'Formato 7 c)'!F16</f>
        <v>2406384.89</v>
      </c>
      <c r="U11" s="18">
        <f>'Formato 7 c)'!G16</f>
        <v>2715618.94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30005950</v>
      </c>
      <c r="Q13" s="18">
        <f>'Formato 7 c)'!C18</f>
        <v>736278</v>
      </c>
      <c r="R13" s="18">
        <f>'Formato 7 c)'!D18</f>
        <v>7249868.1100000003</v>
      </c>
      <c r="S13" s="18">
        <f>'Formato 7 c)'!E18</f>
        <v>1753848.66</v>
      </c>
      <c r="T13" s="18">
        <f>'Formato 7 c)'!F18</f>
        <v>1354522.27</v>
      </c>
      <c r="U13" s="18">
        <f>'Formato 7 c)'!G18</f>
        <v>2739878.15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670448.87</v>
      </c>
      <c r="Q14" s="18">
        <f>'Formato 7 c)'!C19</f>
        <v>0</v>
      </c>
      <c r="R14" s="18">
        <f>'Formato 7 c)'!D19</f>
        <v>3864569.48</v>
      </c>
      <c r="S14" s="18">
        <f>'Formato 7 c)'!E19</f>
        <v>2183000</v>
      </c>
      <c r="T14" s="18">
        <f>'Formato 7 c)'!F19</f>
        <v>1599294.04</v>
      </c>
      <c r="U14" s="18">
        <f>'Formato 7 c)'!G19</f>
        <v>2100002.9900000002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153430665.94</v>
      </c>
      <c r="Q15" s="18">
        <f>'Formato 7 c)'!C21</f>
        <v>190521611.31999999</v>
      </c>
      <c r="R15" s="18">
        <f>'Formato 7 c)'!D21</f>
        <v>184973232.32000002</v>
      </c>
      <c r="S15" s="18">
        <f>'Formato 7 c)'!E21</f>
        <v>154220837.69</v>
      </c>
      <c r="T15" s="18">
        <f>'Formato 7 c)'!F21</f>
        <v>213302573.69999999</v>
      </c>
      <c r="U15" s="18">
        <f>'Formato 7 c)'!G21</f>
        <v>233008331.42000002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116167721</v>
      </c>
      <c r="Q16" s="18">
        <f>'Formato 7 c)'!C22</f>
        <v>125559365</v>
      </c>
      <c r="R16" s="18">
        <f>'Formato 7 c)'!D22</f>
        <v>133443569</v>
      </c>
      <c r="S16" s="18">
        <f>'Formato 7 c)'!E22</f>
        <v>134469574</v>
      </c>
      <c r="T16" s="18" t="e">
        <f>'Formato 7 c)'!#REF!</f>
        <v>#REF!</v>
      </c>
      <c r="U16" s="18">
        <f>'Formato 7 c)'!G22</f>
        <v>151367358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35399796.890000001</v>
      </c>
      <c r="Q17" s="18">
        <f>'Formato 7 c)'!C23</f>
        <v>59685224.709999993</v>
      </c>
      <c r="R17" s="18">
        <f>'Formato 7 c)'!D23</f>
        <v>49939228.109999999</v>
      </c>
      <c r="S17" s="18">
        <f>'Formato 7 c)'!E23</f>
        <v>18427321.190000001</v>
      </c>
      <c r="T17" s="18">
        <f>'Formato 7 c)'!F22</f>
        <v>139626306</v>
      </c>
      <c r="U17" s="18">
        <f>'Formato 7 c)'!G23</f>
        <v>77474589.400000006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1863148.05</v>
      </c>
      <c r="Q20" s="18">
        <f>'Formato 7 c)'!C26</f>
        <v>5277021.6100000003</v>
      </c>
      <c r="R20" s="18">
        <f>'Formato 7 c)'!D26</f>
        <v>1590435.21</v>
      </c>
      <c r="S20" s="18">
        <f>'Formato 7 c)'!E26</f>
        <v>1323942.5</v>
      </c>
      <c r="T20" s="18">
        <f>'Formato 7 c)'!F26</f>
        <v>2118059.69</v>
      </c>
      <c r="U20" s="18">
        <f>'Formato 7 c)'!G26</f>
        <v>4166384.02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101722812.80000001</v>
      </c>
      <c r="Q21" s="18">
        <f>'Formato 7 c)'!C28</f>
        <v>19550928.799999997</v>
      </c>
      <c r="R21" s="18">
        <f>'Formato 7 c)'!D28</f>
        <v>61832514.25</v>
      </c>
      <c r="S21" s="18">
        <f>'Formato 7 c)'!E28</f>
        <v>87496538.079999998</v>
      </c>
      <c r="T21" s="18">
        <f>'Formato 7 c)'!F28</f>
        <v>51208547.120000005</v>
      </c>
      <c r="U21" s="18">
        <f>'Formato 7 c)'!G28</f>
        <v>76887958.479999989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101722812.80000001</v>
      </c>
      <c r="Q22" s="18">
        <f>'Formato 7 c)'!C29</f>
        <v>19550928.799999997</v>
      </c>
      <c r="R22" s="18">
        <f>'Formato 7 c)'!D29</f>
        <v>61832514.25</v>
      </c>
      <c r="S22" s="18">
        <f>'Formato 7 c)'!E29</f>
        <v>87496538.079999998</v>
      </c>
      <c r="T22" s="18">
        <f>'Formato 7 c)'!F29</f>
        <v>51208547.120000005</v>
      </c>
      <c r="U22" s="18">
        <f>'Formato 7 c)'!G29</f>
        <v>76887958.479999989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417915082.34000003</v>
      </c>
      <c r="Q23" s="18">
        <f>'Formato 7 c)'!C31</f>
        <v>347642544.47999996</v>
      </c>
      <c r="R23" s="18">
        <f>'Formato 7 c)'!D31</f>
        <v>395926149.75</v>
      </c>
      <c r="S23" s="18">
        <f>'Formato 7 c)'!E31</f>
        <v>387916104.07999998</v>
      </c>
      <c r="T23" s="18">
        <f>'Formato 7 c)'!F31</f>
        <v>433952128.87</v>
      </c>
      <c r="U23" s="18">
        <f>'Formato 7 c)'!G31</f>
        <v>497884968.51999998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26354363.460000001</v>
      </c>
      <c r="Q25" s="18">
        <f>'Formato 7 c)'!C34</f>
        <v>11274511.02</v>
      </c>
      <c r="R25" s="18">
        <f>'Formato 7 c)'!D34</f>
        <v>13203041.060000001</v>
      </c>
      <c r="S25" s="18">
        <f>'Formato 7 c)'!E34</f>
        <v>8761051.9700000007</v>
      </c>
      <c r="T25" s="18">
        <f>'Formato 7 c)'!F34</f>
        <v>6345363.5599999996</v>
      </c>
      <c r="U25" s="18">
        <f>'Formato 7 c)'!G34</f>
        <v>8024829.0700000003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75368449.340000004</v>
      </c>
      <c r="Q26" s="18">
        <f>'Formato 7 c)'!C35</f>
        <v>8276417.7799999993</v>
      </c>
      <c r="R26" s="18">
        <f>'Formato 7 c)'!D35</f>
        <v>48629473.189999998</v>
      </c>
      <c r="S26" s="18">
        <f>'Formato 7 c)'!E35</f>
        <v>78735486.109999999</v>
      </c>
      <c r="T26" s="18">
        <f>'Formato 7 c)'!F35</f>
        <v>44863183.560000002</v>
      </c>
      <c r="U26" s="18">
        <f>'Formato 7 c)'!G35</f>
        <v>68863129.409999996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101722812.80000001</v>
      </c>
      <c r="Q27" s="18">
        <f>'Formato 7 c)'!C36</f>
        <v>19550928.799999997</v>
      </c>
      <c r="R27" s="18">
        <f>'Formato 7 c)'!D36</f>
        <v>61832514.25</v>
      </c>
      <c r="S27" s="18">
        <f>'Formato 7 c)'!E36</f>
        <v>87496538.079999998</v>
      </c>
      <c r="T27" s="18">
        <f>'Formato 7 c)'!F36</f>
        <v>51208547.120000005</v>
      </c>
      <c r="U27" s="18">
        <f>'Formato 7 c)'!G36</f>
        <v>76887958.479999989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A32" sqref="A32:G32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82" customFormat="1" ht="37.5" customHeight="1" x14ac:dyDescent="0.25">
      <c r="A1" s="203" t="s">
        <v>482</v>
      </c>
      <c r="B1" s="203"/>
      <c r="C1" s="203"/>
      <c r="D1" s="203"/>
      <c r="E1" s="203"/>
      <c r="F1" s="203"/>
      <c r="G1" s="203"/>
    </row>
    <row r="2" spans="1:7" x14ac:dyDescent="0.25">
      <c r="A2" s="185" t="str">
        <f>ENTIDAD</f>
        <v>Municipio de Valle de Santiago, Gobierno del Estado de Guanajuato</v>
      </c>
      <c r="B2" s="186"/>
      <c r="C2" s="186"/>
      <c r="D2" s="186"/>
      <c r="E2" s="186"/>
      <c r="F2" s="186"/>
      <c r="G2" s="187"/>
    </row>
    <row r="3" spans="1:7" x14ac:dyDescent="0.25">
      <c r="A3" s="188" t="s">
        <v>483</v>
      </c>
      <c r="B3" s="189"/>
      <c r="C3" s="189"/>
      <c r="D3" s="189"/>
      <c r="E3" s="189"/>
      <c r="F3" s="189"/>
      <c r="G3" s="190"/>
    </row>
    <row r="4" spans="1:7" x14ac:dyDescent="0.25">
      <c r="A4" s="194" t="s">
        <v>118</v>
      </c>
      <c r="B4" s="195"/>
      <c r="C4" s="195"/>
      <c r="D4" s="195"/>
      <c r="E4" s="195"/>
      <c r="F4" s="195"/>
      <c r="G4" s="196"/>
    </row>
    <row r="5" spans="1:7" x14ac:dyDescent="0.25">
      <c r="A5" s="222" t="s">
        <v>3134</v>
      </c>
      <c r="B5" s="218" t="str">
        <f>ANIO5R</f>
        <v>2012 ¹ (c)</v>
      </c>
      <c r="C5" s="218" t="str">
        <f>ANIO4R</f>
        <v>2013 ¹ (c)</v>
      </c>
      <c r="D5" s="218" t="str">
        <f>ANIO3R</f>
        <v>2014 ¹ (c)</v>
      </c>
      <c r="E5" s="218" t="str">
        <f>ANIO2R</f>
        <v>2015 ¹ (c)</v>
      </c>
      <c r="F5" s="218" t="str">
        <f>ANIO1R</f>
        <v>2016 ¹ (c)</v>
      </c>
      <c r="G5" s="49">
        <f>ANIO_INFORME</f>
        <v>2017</v>
      </c>
    </row>
    <row r="6" spans="1:7" ht="32.1" customHeight="1" x14ac:dyDescent="0.25">
      <c r="A6" s="223"/>
      <c r="B6" s="219"/>
      <c r="C6" s="219"/>
      <c r="D6" s="219"/>
      <c r="E6" s="219"/>
      <c r="F6" s="219"/>
      <c r="G6" s="79" t="s">
        <v>3287</v>
      </c>
    </row>
    <row r="7" spans="1:7" x14ac:dyDescent="0.25">
      <c r="A7" s="50" t="s">
        <v>484</v>
      </c>
      <c r="B7" s="163">
        <f>SUM(B8:B16)</f>
        <v>171248966.94000003</v>
      </c>
      <c r="C7" s="163">
        <f t="shared" ref="C7:G7" si="0">SUM(C8:C16)</f>
        <v>137331490.83999997</v>
      </c>
      <c r="D7" s="163">
        <f t="shared" si="0"/>
        <v>149848029.13</v>
      </c>
      <c r="E7" s="163">
        <f t="shared" si="0"/>
        <v>148321001.90000001</v>
      </c>
      <c r="F7" s="163">
        <f t="shared" si="0"/>
        <v>164599735.33000001</v>
      </c>
      <c r="G7" s="163">
        <f t="shared" si="0"/>
        <v>163729064.36000001</v>
      </c>
    </row>
    <row r="8" spans="1:7" x14ac:dyDescent="0.25">
      <c r="A8" s="51" t="s">
        <v>446</v>
      </c>
      <c r="B8" s="137">
        <f>73427893.17+1967520</f>
        <v>75395413.170000002</v>
      </c>
      <c r="C8" s="137">
        <f>71880351.97+324225.27</f>
        <v>72204577.239999995</v>
      </c>
      <c r="D8" s="137">
        <v>77597114.700000003</v>
      </c>
      <c r="E8" s="137">
        <v>81441971.170000002</v>
      </c>
      <c r="F8" s="137">
        <v>90006258.209999993</v>
      </c>
      <c r="G8" s="137">
        <v>89376635.75</v>
      </c>
    </row>
    <row r="9" spans="1:7" x14ac:dyDescent="0.25">
      <c r="A9" s="51" t="s">
        <v>447</v>
      </c>
      <c r="B9" s="137">
        <f>9146147.98+2213496.5</f>
        <v>11359644.48</v>
      </c>
      <c r="C9" s="137">
        <f>9752156.32+796109.81</f>
        <v>10548266.130000001</v>
      </c>
      <c r="D9" s="137">
        <v>10014278.720000001</v>
      </c>
      <c r="E9" s="137">
        <v>8410094.1899999995</v>
      </c>
      <c r="F9" s="137">
        <v>9117510.7100000009</v>
      </c>
      <c r="G9" s="137">
        <v>6026429.1799999997</v>
      </c>
    </row>
    <row r="10" spans="1:7" x14ac:dyDescent="0.25">
      <c r="A10" s="51" t="s">
        <v>448</v>
      </c>
      <c r="B10" s="137">
        <f>10207327.57+164469.47</f>
        <v>10371797.040000001</v>
      </c>
      <c r="C10" s="137">
        <f>15387014.53+25593.08+4392106.22</f>
        <v>19804713.829999998</v>
      </c>
      <c r="D10" s="137">
        <v>16957288.079999998</v>
      </c>
      <c r="E10" s="137">
        <v>13394730.380000001</v>
      </c>
      <c r="F10" s="137">
        <v>23000359.079999998</v>
      </c>
      <c r="G10" s="137">
        <v>22731103.5</v>
      </c>
    </row>
    <row r="11" spans="1:7" x14ac:dyDescent="0.25">
      <c r="A11" s="51" t="s">
        <v>449</v>
      </c>
      <c r="B11" s="137">
        <v>32550446.309999999</v>
      </c>
      <c r="C11" s="137">
        <f>22183897.35+2284129.63</f>
        <v>24468026.98</v>
      </c>
      <c r="D11" s="137">
        <v>28505089.210000001</v>
      </c>
      <c r="E11" s="137">
        <v>23213321.120000001</v>
      </c>
      <c r="F11" s="137">
        <v>24175160.260000002</v>
      </c>
      <c r="G11" s="137">
        <v>30389356.489999998</v>
      </c>
    </row>
    <row r="12" spans="1:7" x14ac:dyDescent="0.25">
      <c r="A12" s="51" t="s">
        <v>450</v>
      </c>
      <c r="B12" s="137">
        <v>201551.94</v>
      </c>
      <c r="C12" s="137">
        <f>5947170.68+300000+21988</f>
        <v>6269158.6799999997</v>
      </c>
      <c r="D12" s="137">
        <v>10511883.279999999</v>
      </c>
      <c r="E12" s="137">
        <v>1079723.52</v>
      </c>
      <c r="F12" s="137">
        <v>5043402.55</v>
      </c>
      <c r="G12" s="137">
        <v>2325056.08</v>
      </c>
    </row>
    <row r="13" spans="1:7" x14ac:dyDescent="0.25">
      <c r="A13" s="51" t="s">
        <v>451</v>
      </c>
      <c r="B13" s="137">
        <f>35788186.14+15645242.6+450497.09-10513811.83</f>
        <v>41370114.000000007</v>
      </c>
      <c r="C13" s="137">
        <f>778755.78+127316.51+524629.71+2606045.98</f>
        <v>4036747.98</v>
      </c>
      <c r="D13" s="137">
        <v>6262375.1399999997</v>
      </c>
      <c r="E13" s="137">
        <v>20781161.52</v>
      </c>
      <c r="F13" s="137">
        <v>13257044.52</v>
      </c>
      <c r="G13" s="137">
        <v>12880483.359999999</v>
      </c>
    </row>
    <row r="14" spans="1:7" x14ac:dyDescent="0.25">
      <c r="A14" s="51" t="s">
        <v>452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x14ac:dyDescent="0.25">
      <c r="A15" s="51" t="s">
        <v>453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51" t="s">
        <v>454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52"/>
      <c r="B17" s="52"/>
      <c r="C17" s="52"/>
      <c r="D17" s="52"/>
      <c r="E17" s="52"/>
      <c r="F17" s="52"/>
      <c r="G17" s="52"/>
    </row>
    <row r="18" spans="1:7" x14ac:dyDescent="0.25">
      <c r="A18" s="53" t="s">
        <v>485</v>
      </c>
      <c r="B18" s="139">
        <f>SUM(B19:B27)</f>
        <v>220391817.25999999</v>
      </c>
      <c r="C18" s="139">
        <f t="shared" ref="C18:G18" si="1">SUM(C19:C27)</f>
        <v>146205190.04999998</v>
      </c>
      <c r="D18" s="139">
        <f t="shared" si="1"/>
        <v>148893098.19999999</v>
      </c>
      <c r="E18" s="139">
        <f t="shared" si="1"/>
        <v>191219338.09999999</v>
      </c>
      <c r="F18" s="139">
        <f t="shared" si="1"/>
        <v>181555665.72000003</v>
      </c>
      <c r="G18" s="139">
        <f t="shared" si="1"/>
        <v>179716442.11000001</v>
      </c>
    </row>
    <row r="19" spans="1:7" x14ac:dyDescent="0.25">
      <c r="A19" s="51" t="s">
        <v>446</v>
      </c>
      <c r="B19" s="137">
        <f>1872154.4+36223031.13+4247655+5645452.5-300+42500</f>
        <v>48030493.030000001</v>
      </c>
      <c r="C19" s="137">
        <f>5318494+37464426.7+1037942</f>
        <v>43820862.700000003</v>
      </c>
      <c r="D19" s="137">
        <v>42390288.210000001</v>
      </c>
      <c r="E19" s="137">
        <v>39767032.5</v>
      </c>
      <c r="F19" s="137">
        <v>43621153.100000001</v>
      </c>
      <c r="G19" s="137">
        <v>41577663.219999999</v>
      </c>
    </row>
    <row r="20" spans="1:7" x14ac:dyDescent="0.25">
      <c r="A20" s="51" t="s">
        <v>447</v>
      </c>
      <c r="B20" s="58">
        <f>10315996.87+6439287.31+4666874.5-452.4+693749.57</f>
        <v>22115455.850000001</v>
      </c>
      <c r="C20" s="137">
        <f>7652071.76+12591975.35+2317048.55</f>
        <v>22561095.66</v>
      </c>
      <c r="D20" s="137">
        <v>19437082.23</v>
      </c>
      <c r="E20" s="137">
        <f>15325984.87+1625823.43</f>
        <v>16951808.300000001</v>
      </c>
      <c r="F20" s="137">
        <v>16929043.609999999</v>
      </c>
      <c r="G20" s="137">
        <v>17770863.050000001</v>
      </c>
    </row>
    <row r="21" spans="1:7" x14ac:dyDescent="0.25">
      <c r="A21" s="51" t="s">
        <v>448</v>
      </c>
      <c r="B21" s="58">
        <f>25605.67+2494019.88+6220664.09+645510.09+1487709.85+2934450</f>
        <v>13807959.58</v>
      </c>
      <c r="C21" s="137">
        <f>263982.16+5939484.85+7631400.54+2620450</f>
        <v>16455317.550000001</v>
      </c>
      <c r="D21" s="137">
        <v>23154001.789999999</v>
      </c>
      <c r="E21" s="137">
        <f>18255969.72+13467.44</f>
        <v>18269437.16</v>
      </c>
      <c r="F21" s="137">
        <v>21005119.530000001</v>
      </c>
      <c r="G21" s="137">
        <v>22855451.010000002</v>
      </c>
    </row>
    <row r="22" spans="1:7" x14ac:dyDescent="0.25">
      <c r="A22" s="51" t="s">
        <v>449</v>
      </c>
      <c r="B22" s="58">
        <f>366550+146625</f>
        <v>513175</v>
      </c>
      <c r="C22" s="137">
        <f>6302.43+306277.64</f>
        <v>312580.07</v>
      </c>
      <c r="D22" s="137">
        <v>278920</v>
      </c>
      <c r="E22" s="137">
        <v>804552.97</v>
      </c>
      <c r="F22" s="137">
        <v>7031.9</v>
      </c>
      <c r="G22" s="137">
        <v>2813500</v>
      </c>
    </row>
    <row r="23" spans="1:7" x14ac:dyDescent="0.25">
      <c r="A23" s="51" t="s">
        <v>450</v>
      </c>
      <c r="B23" s="58">
        <f>236119.58+3121500</f>
        <v>3357619.58</v>
      </c>
      <c r="C23" s="137">
        <f>1840437.88+5093344.09</f>
        <v>6933781.9699999997</v>
      </c>
      <c r="D23" s="137">
        <v>3022025.44</v>
      </c>
      <c r="E23" s="137">
        <f>4189051.7+176217.76</f>
        <v>4365269.46</v>
      </c>
      <c r="F23" s="137">
        <v>2549005.4500000002</v>
      </c>
      <c r="G23" s="137">
        <v>9147415.4499999993</v>
      </c>
    </row>
    <row r="24" spans="1:7" x14ac:dyDescent="0.25">
      <c r="A24" s="51" t="s">
        <v>451</v>
      </c>
      <c r="B24" s="58">
        <f>2518992.27+5416782.21+2079869.02+51707392.51+41988100.72+17530438.81+9068756.03</f>
        <v>130310331.56999999</v>
      </c>
      <c r="C24" s="137">
        <f>1595951.2+26640258.24+46907.33+6092040.18+18034967.05</f>
        <v>52410124</v>
      </c>
      <c r="D24" s="137">
        <v>58819046.880000003</v>
      </c>
      <c r="E24" s="137">
        <f>64537050.61+44982937.85</f>
        <v>109519988.46000001</v>
      </c>
      <c r="F24" s="137">
        <v>95501489.730000004</v>
      </c>
      <c r="G24" s="137">
        <v>81950153.140000001</v>
      </c>
    </row>
    <row r="25" spans="1:7" x14ac:dyDescent="0.25">
      <c r="A25" s="51" t="s">
        <v>452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7" x14ac:dyDescent="0.25">
      <c r="A26" s="51" t="s">
        <v>456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7" x14ac:dyDescent="0.25">
      <c r="A27" s="51" t="s">
        <v>454</v>
      </c>
      <c r="B27" s="58">
        <f>2834255.65-577473</f>
        <v>2256782.65</v>
      </c>
      <c r="C27" s="137">
        <v>3711428.1</v>
      </c>
      <c r="D27" s="137">
        <v>1791733.65</v>
      </c>
      <c r="E27" s="137">
        <v>1541249.25</v>
      </c>
      <c r="F27" s="174">
        <v>1942822.4</v>
      </c>
      <c r="G27" s="137">
        <v>3601396.24</v>
      </c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3" t="s">
        <v>486</v>
      </c>
      <c r="B29" s="137">
        <f>B7+B18</f>
        <v>391640784.20000005</v>
      </c>
      <c r="C29" s="137">
        <f t="shared" ref="C29:G29" si="2">C7+C18</f>
        <v>283536680.88999999</v>
      </c>
      <c r="D29" s="137">
        <f t="shared" si="2"/>
        <v>298741127.32999998</v>
      </c>
      <c r="E29" s="137">
        <f t="shared" si="2"/>
        <v>339540340</v>
      </c>
      <c r="F29" s="137">
        <f t="shared" si="2"/>
        <v>346155401.05000007</v>
      </c>
      <c r="G29" s="137">
        <f t="shared" si="2"/>
        <v>343445506.47000003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81"/>
    </row>
    <row r="32" spans="1:7" x14ac:dyDescent="0.25">
      <c r="A32" s="217" t="s">
        <v>3284</v>
      </c>
      <c r="B32" s="217"/>
      <c r="C32" s="217"/>
      <c r="D32" s="217"/>
      <c r="E32" s="217"/>
      <c r="F32" s="217"/>
      <c r="G32" s="217"/>
    </row>
    <row r="33" spans="1:7" x14ac:dyDescent="0.25">
      <c r="A33" s="217" t="s">
        <v>3285</v>
      </c>
      <c r="B33" s="217"/>
      <c r="C33" s="217"/>
      <c r="D33" s="217"/>
      <c r="E33" s="217"/>
      <c r="F33" s="217"/>
      <c r="G33" s="21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E29 F7:G24 F26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171248966.94000003</v>
      </c>
      <c r="Q2" s="18">
        <f>'Formato 7 d)'!C7</f>
        <v>137331490.83999997</v>
      </c>
      <c r="R2" s="18">
        <f>'Formato 7 d)'!D7</f>
        <v>149848029.13</v>
      </c>
      <c r="S2" s="18">
        <f>'Formato 7 d)'!E7</f>
        <v>148321001.90000001</v>
      </c>
      <c r="T2" s="18">
        <f>'Formato 7 d)'!F7</f>
        <v>164599735.33000001</v>
      </c>
      <c r="U2" s="18">
        <f>'Formato 7 d)'!G7</f>
        <v>163729064.36000001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75395413.170000002</v>
      </c>
      <c r="Q3" s="18">
        <f>'Formato 7 d)'!C8</f>
        <v>72204577.239999995</v>
      </c>
      <c r="R3" s="18">
        <f>'Formato 7 d)'!D8</f>
        <v>77597114.700000003</v>
      </c>
      <c r="S3" s="18">
        <f>'Formato 7 d)'!E8</f>
        <v>81441971.170000002</v>
      </c>
      <c r="T3" s="18">
        <f>'Formato 7 d)'!F8</f>
        <v>90006258.209999993</v>
      </c>
      <c r="U3" s="18">
        <f>'Formato 7 d)'!G8</f>
        <v>89376635.75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11359644.48</v>
      </c>
      <c r="Q4" s="18">
        <f>'Formato 7 d)'!C9</f>
        <v>10548266.130000001</v>
      </c>
      <c r="R4" s="18">
        <f>'Formato 7 d)'!D9</f>
        <v>10014278.720000001</v>
      </c>
      <c r="S4" s="18">
        <f>'Formato 7 d)'!E9</f>
        <v>8410094.1899999995</v>
      </c>
      <c r="T4" s="18">
        <f>'Formato 7 d)'!F9</f>
        <v>9117510.7100000009</v>
      </c>
      <c r="U4" s="18">
        <f>'Formato 7 d)'!G9</f>
        <v>6026429.1799999997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10371797.040000001</v>
      </c>
      <c r="Q5" s="18">
        <f>'Formato 7 d)'!C10</f>
        <v>19804713.829999998</v>
      </c>
      <c r="R5" s="18">
        <f>'Formato 7 d)'!D10</f>
        <v>16957288.079999998</v>
      </c>
      <c r="S5" s="18">
        <f>'Formato 7 d)'!E10</f>
        <v>13394730.380000001</v>
      </c>
      <c r="T5" s="18">
        <f>'Formato 7 d)'!F10</f>
        <v>23000359.079999998</v>
      </c>
      <c r="U5" s="18">
        <f>'Formato 7 d)'!G10</f>
        <v>22731103.5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32550446.309999999</v>
      </c>
      <c r="Q6" s="18">
        <f>'Formato 7 d)'!C11</f>
        <v>24468026.98</v>
      </c>
      <c r="R6" s="18">
        <f>'Formato 7 d)'!D11</f>
        <v>28505089.210000001</v>
      </c>
      <c r="S6" s="18">
        <f>'Formato 7 d)'!E11</f>
        <v>23213321.120000001</v>
      </c>
      <c r="T6" s="18">
        <f>'Formato 7 d)'!F11</f>
        <v>24175160.260000002</v>
      </c>
      <c r="U6" s="18">
        <f>'Formato 7 d)'!G11</f>
        <v>30389356.489999998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201551.94</v>
      </c>
      <c r="Q7" s="18">
        <f>'Formato 7 d)'!C12</f>
        <v>6269158.6799999997</v>
      </c>
      <c r="R7" s="18">
        <f>'Formato 7 d)'!D12</f>
        <v>10511883.279999999</v>
      </c>
      <c r="S7" s="18">
        <f>'Formato 7 d)'!E12</f>
        <v>1079723.52</v>
      </c>
      <c r="T7" s="18">
        <f>'Formato 7 d)'!F12</f>
        <v>5043402.55</v>
      </c>
      <c r="U7" s="18">
        <f>'Formato 7 d)'!G12</f>
        <v>2325056.08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41370114.000000007</v>
      </c>
      <c r="Q8" s="18">
        <f>'Formato 7 d)'!C13</f>
        <v>4036747.98</v>
      </c>
      <c r="R8" s="18">
        <f>'Formato 7 d)'!D13</f>
        <v>6262375.1399999997</v>
      </c>
      <c r="S8" s="18">
        <f>'Formato 7 d)'!E13</f>
        <v>20781161.52</v>
      </c>
      <c r="T8" s="18">
        <f>'Formato 7 d)'!F13</f>
        <v>13257044.52</v>
      </c>
      <c r="U8" s="18">
        <f>'Formato 7 d)'!G13</f>
        <v>12880483.359999999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220391817.25999999</v>
      </c>
      <c r="Q12" s="18">
        <f>'Formato 7 d)'!C18</f>
        <v>146205190.04999998</v>
      </c>
      <c r="R12" s="18">
        <f>'Formato 7 d)'!D18</f>
        <v>148893098.19999999</v>
      </c>
      <c r="S12" s="18">
        <f>'Formato 7 d)'!E18</f>
        <v>191219338.09999999</v>
      </c>
      <c r="T12" s="18">
        <f>'Formato 7 d)'!F18</f>
        <v>181555665.72000003</v>
      </c>
      <c r="U12" s="18">
        <f>'Formato 7 d)'!G18</f>
        <v>179716442.11000001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48030493.030000001</v>
      </c>
      <c r="Q13" s="18">
        <f>'Formato 7 d)'!C19</f>
        <v>43820862.700000003</v>
      </c>
      <c r="R13" s="18">
        <f>'Formato 7 d)'!D19</f>
        <v>42390288.210000001</v>
      </c>
      <c r="S13" s="18">
        <f>'Formato 7 d)'!E19</f>
        <v>39767032.5</v>
      </c>
      <c r="T13" s="18">
        <f>'Formato 7 d)'!F19</f>
        <v>43621153.100000001</v>
      </c>
      <c r="U13" s="18">
        <f>'Formato 7 d)'!G19</f>
        <v>41577663.219999999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22115455.850000001</v>
      </c>
      <c r="Q14" s="18">
        <f>'Formato 7 d)'!C20</f>
        <v>22561095.66</v>
      </c>
      <c r="R14" s="18">
        <f>'Formato 7 d)'!D20</f>
        <v>19437082.23</v>
      </c>
      <c r="S14" s="18">
        <f>'Formato 7 d)'!E20</f>
        <v>16951808.300000001</v>
      </c>
      <c r="T14" s="18">
        <f>'Formato 7 d)'!F20</f>
        <v>16929043.609999999</v>
      </c>
      <c r="U14" s="18">
        <f>'Formato 7 d)'!G20</f>
        <v>17770863.050000001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13807959.58</v>
      </c>
      <c r="Q15" s="18">
        <f>'Formato 7 d)'!C21</f>
        <v>16455317.550000001</v>
      </c>
      <c r="R15" s="18">
        <f>'Formato 7 d)'!D21</f>
        <v>23154001.789999999</v>
      </c>
      <c r="S15" s="18">
        <f>'Formato 7 d)'!E21</f>
        <v>18269437.16</v>
      </c>
      <c r="T15" s="18">
        <f>'Formato 7 d)'!F21</f>
        <v>21005119.530000001</v>
      </c>
      <c r="U15" s="18">
        <f>'Formato 7 d)'!G21</f>
        <v>22855451.010000002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513175</v>
      </c>
      <c r="Q16" s="18">
        <f>'Formato 7 d)'!C22</f>
        <v>312580.07</v>
      </c>
      <c r="R16" s="18">
        <f>'Formato 7 d)'!D22</f>
        <v>278920</v>
      </c>
      <c r="S16" s="18">
        <f>'Formato 7 d)'!E22</f>
        <v>804552.97</v>
      </c>
      <c r="T16" s="18">
        <f>'Formato 7 d)'!F22</f>
        <v>7031.9</v>
      </c>
      <c r="U16" s="18">
        <f>'Formato 7 d)'!G22</f>
        <v>2813500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3357619.58</v>
      </c>
      <c r="Q17" s="18">
        <f>'Formato 7 d)'!C23</f>
        <v>6933781.9699999997</v>
      </c>
      <c r="R17" s="18">
        <f>'Formato 7 d)'!D23</f>
        <v>3022025.44</v>
      </c>
      <c r="S17" s="18">
        <f>'Formato 7 d)'!E23</f>
        <v>4365269.46</v>
      </c>
      <c r="T17" s="18">
        <f>'Formato 7 d)'!F23</f>
        <v>2549005.4500000002</v>
      </c>
      <c r="U17" s="18">
        <f>'Formato 7 d)'!G23</f>
        <v>9147415.4499999993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130310331.56999999</v>
      </c>
      <c r="Q18" s="18">
        <f>'Formato 7 d)'!C24</f>
        <v>52410124</v>
      </c>
      <c r="R18" s="18">
        <f>'Formato 7 d)'!D24</f>
        <v>58819046.880000003</v>
      </c>
      <c r="S18" s="18">
        <f>'Formato 7 d)'!E24</f>
        <v>109519988.46000001</v>
      </c>
      <c r="T18" s="18">
        <f>'Formato 7 d)'!F24</f>
        <v>95501489.730000004</v>
      </c>
      <c r="U18" s="18">
        <f>'Formato 7 d)'!G24</f>
        <v>81950153.140000001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d)'!F27</f>
        <v>1942822.4</v>
      </c>
      <c r="U19" s="18">
        <f>'Formato 7 d)'!G27</f>
        <v>3601396.24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2256782.65</v>
      </c>
      <c r="Q21" s="18">
        <f>'Formato 7 d)'!C27</f>
        <v>3711428.1</v>
      </c>
      <c r="R21" s="18">
        <f>'Formato 7 d)'!D27</f>
        <v>1791733.65</v>
      </c>
      <c r="S21" s="18">
        <f>'Formato 7 d)'!E27</f>
        <v>1541249.25</v>
      </c>
      <c r="T21" s="18" t="e">
        <f>'Formato 7 d)'!#REF!</f>
        <v>#REF!</v>
      </c>
      <c r="U21" s="18" t="e">
        <f>'Formato 7 d)'!#REF!</f>
        <v>#REF!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391640784.20000005</v>
      </c>
      <c r="Q22" s="18">
        <f>'Formato 7 d)'!C29</f>
        <v>283536680.88999999</v>
      </c>
      <c r="R22" s="18">
        <f>'Formato 7 d)'!D29</f>
        <v>298741127.32999998</v>
      </c>
      <c r="S22" s="18">
        <f>'Formato 7 d)'!E29</f>
        <v>339540340</v>
      </c>
      <c r="T22" s="18">
        <f>'Formato 7 d)'!F29</f>
        <v>346155401.05000007</v>
      </c>
      <c r="U22" s="18">
        <f>'Formato 7 d)'!G29</f>
        <v>343445506.47000003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C11" sqref="C1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82" customFormat="1" ht="34.5" customHeight="1" x14ac:dyDescent="0.25">
      <c r="A1" s="197" t="s">
        <v>487</v>
      </c>
      <c r="B1" s="197"/>
      <c r="C1" s="197"/>
      <c r="D1" s="197"/>
      <c r="E1" s="197"/>
      <c r="F1" s="197"/>
      <c r="G1" s="102"/>
    </row>
    <row r="2" spans="1:7" x14ac:dyDescent="0.25">
      <c r="A2" s="185" t="str">
        <f>ENTE_PUBLICO</f>
        <v>MUNICIPIO DE VALLE DE SANTIAGO, GTO., Gobierno del Estado de Guanajuato</v>
      </c>
      <c r="B2" s="186"/>
      <c r="C2" s="186"/>
      <c r="D2" s="186"/>
      <c r="E2" s="186"/>
      <c r="F2" s="187"/>
    </row>
    <row r="3" spans="1:7" x14ac:dyDescent="0.25">
      <c r="A3" s="194" t="s">
        <v>488</v>
      </c>
      <c r="B3" s="195"/>
      <c r="C3" s="195"/>
      <c r="D3" s="195"/>
      <c r="E3" s="195"/>
      <c r="F3" s="196"/>
    </row>
    <row r="4" spans="1:7" ht="30" x14ac:dyDescent="0.25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 x14ac:dyDescent="0.25">
      <c r="A5" s="124" t="s">
        <v>494</v>
      </c>
      <c r="B5" s="5"/>
      <c r="C5" s="5"/>
      <c r="D5" s="5"/>
      <c r="E5" s="5"/>
      <c r="F5" s="5"/>
    </row>
    <row r="6" spans="1:7" ht="30" x14ac:dyDescent="0.25">
      <c r="A6" s="125" t="s">
        <v>495</v>
      </c>
      <c r="B6" s="58"/>
      <c r="C6" s="58"/>
      <c r="D6" s="58"/>
      <c r="E6" s="58"/>
      <c r="F6" s="58"/>
    </row>
    <row r="7" spans="1:7" x14ac:dyDescent="0.25">
      <c r="A7" s="125" t="s">
        <v>496</v>
      </c>
      <c r="B7" s="58"/>
      <c r="C7" s="58"/>
      <c r="D7" s="58"/>
      <c r="E7" s="58"/>
      <c r="F7" s="58"/>
    </row>
    <row r="8" spans="1:7" x14ac:dyDescent="0.25">
      <c r="A8" s="126"/>
      <c r="B8" s="52"/>
      <c r="C8" s="52"/>
      <c r="D8" s="52"/>
      <c r="E8" s="52"/>
      <c r="F8" s="52"/>
    </row>
    <row r="9" spans="1:7" x14ac:dyDescent="0.25">
      <c r="A9" s="124" t="s">
        <v>497</v>
      </c>
      <c r="B9" s="52"/>
      <c r="C9" s="52"/>
      <c r="D9" s="52"/>
      <c r="E9" s="52"/>
      <c r="F9" s="52"/>
    </row>
    <row r="10" spans="1:7" x14ac:dyDescent="0.25">
      <c r="A10" s="125" t="s">
        <v>498</v>
      </c>
      <c r="B10" s="58"/>
      <c r="C10" s="58"/>
      <c r="D10" s="58"/>
      <c r="E10" s="58"/>
      <c r="F10" s="58"/>
    </row>
    <row r="11" spans="1:7" x14ac:dyDescent="0.25">
      <c r="A11" s="127" t="s">
        <v>499</v>
      </c>
      <c r="B11" s="58"/>
      <c r="C11" s="58"/>
      <c r="D11" s="58"/>
      <c r="E11" s="58"/>
      <c r="F11" s="58"/>
    </row>
    <row r="12" spans="1:7" x14ac:dyDescent="0.25">
      <c r="A12" s="127" t="s">
        <v>500</v>
      </c>
      <c r="B12" s="58"/>
      <c r="C12" s="58"/>
      <c r="D12" s="58"/>
      <c r="E12" s="58"/>
      <c r="F12" s="58"/>
    </row>
    <row r="13" spans="1:7" x14ac:dyDescent="0.25">
      <c r="A13" s="127" t="s">
        <v>501</v>
      </c>
      <c r="B13" s="58"/>
      <c r="C13" s="58"/>
      <c r="D13" s="58"/>
      <c r="E13" s="58"/>
      <c r="F13" s="58"/>
    </row>
    <row r="14" spans="1:7" x14ac:dyDescent="0.25">
      <c r="A14" s="125" t="s">
        <v>502</v>
      </c>
      <c r="B14" s="58"/>
      <c r="C14" s="58"/>
      <c r="D14" s="58"/>
      <c r="E14" s="58"/>
      <c r="F14" s="58"/>
    </row>
    <row r="15" spans="1:7" x14ac:dyDescent="0.25">
      <c r="A15" s="127" t="s">
        <v>499</v>
      </c>
      <c r="B15" s="58"/>
      <c r="C15" s="58"/>
      <c r="D15" s="58"/>
      <c r="E15" s="58"/>
      <c r="F15" s="58"/>
    </row>
    <row r="16" spans="1:7" x14ac:dyDescent="0.25">
      <c r="A16" s="127" t="s">
        <v>500</v>
      </c>
      <c r="B16" s="58"/>
      <c r="C16" s="58"/>
      <c r="D16" s="58"/>
      <c r="E16" s="58"/>
      <c r="F16" s="58"/>
    </row>
    <row r="17" spans="1:6" x14ac:dyDescent="0.25">
      <c r="A17" s="127" t="s">
        <v>501</v>
      </c>
      <c r="B17" s="58"/>
      <c r="C17" s="58"/>
      <c r="D17" s="58"/>
      <c r="E17" s="58"/>
      <c r="F17" s="58"/>
    </row>
    <row r="18" spans="1:6" x14ac:dyDescent="0.25">
      <c r="A18" s="125" t="s">
        <v>503</v>
      </c>
      <c r="B18" s="132"/>
      <c r="C18" s="58"/>
      <c r="D18" s="58"/>
      <c r="E18" s="58"/>
      <c r="F18" s="58"/>
    </row>
    <row r="19" spans="1:6" x14ac:dyDescent="0.25">
      <c r="A19" s="125" t="s">
        <v>504</v>
      </c>
      <c r="B19" s="58"/>
      <c r="C19" s="58"/>
      <c r="D19" s="58"/>
      <c r="E19" s="58"/>
      <c r="F19" s="58"/>
    </row>
    <row r="20" spans="1:6" x14ac:dyDescent="0.25">
      <c r="A20" s="125" t="s">
        <v>505</v>
      </c>
      <c r="B20" s="133"/>
      <c r="C20" s="133"/>
      <c r="D20" s="133"/>
      <c r="E20" s="133"/>
      <c r="F20" s="133"/>
    </row>
    <row r="21" spans="1:6" x14ac:dyDescent="0.25">
      <c r="A21" s="125" t="s">
        <v>506</v>
      </c>
      <c r="B21" s="133"/>
      <c r="C21" s="133"/>
      <c r="D21" s="133"/>
      <c r="E21" s="133"/>
      <c r="F21" s="133"/>
    </row>
    <row r="22" spans="1:6" x14ac:dyDescent="0.25">
      <c r="A22" s="62" t="s">
        <v>507</v>
      </c>
      <c r="B22" s="133"/>
      <c r="C22" s="133"/>
      <c r="D22" s="133"/>
      <c r="E22" s="133"/>
      <c r="F22" s="133"/>
    </row>
    <row r="23" spans="1:6" x14ac:dyDescent="0.25">
      <c r="A23" s="62" t="s">
        <v>508</v>
      </c>
      <c r="B23" s="133"/>
      <c r="C23" s="133"/>
      <c r="D23" s="133"/>
      <c r="E23" s="133"/>
      <c r="F23" s="133"/>
    </row>
    <row r="24" spans="1:6" x14ac:dyDescent="0.25">
      <c r="A24" s="62" t="s">
        <v>509</v>
      </c>
      <c r="B24" s="134"/>
      <c r="C24" s="58"/>
      <c r="D24" s="58"/>
      <c r="E24" s="58"/>
      <c r="F24" s="58"/>
    </row>
    <row r="25" spans="1:6" x14ac:dyDescent="0.25">
      <c r="A25" s="125" t="s">
        <v>510</v>
      </c>
      <c r="B25" s="134"/>
      <c r="C25" s="58"/>
      <c r="D25" s="58"/>
      <c r="E25" s="58"/>
      <c r="F25" s="58"/>
    </row>
    <row r="26" spans="1:6" x14ac:dyDescent="0.25">
      <c r="A26" s="126"/>
      <c r="B26" s="52"/>
      <c r="C26" s="52"/>
      <c r="D26" s="52"/>
      <c r="E26" s="52"/>
      <c r="F26" s="52"/>
    </row>
    <row r="27" spans="1:6" x14ac:dyDescent="0.25">
      <c r="A27" s="124" t="s">
        <v>511</v>
      </c>
      <c r="B27" s="52"/>
      <c r="C27" s="52"/>
      <c r="D27" s="52"/>
      <c r="E27" s="52"/>
      <c r="F27" s="52"/>
    </row>
    <row r="28" spans="1:6" x14ac:dyDescent="0.25">
      <c r="A28" s="125" t="s">
        <v>512</v>
      </c>
      <c r="B28" s="58"/>
      <c r="C28" s="58"/>
      <c r="D28" s="58"/>
      <c r="E28" s="58"/>
      <c r="F28" s="58"/>
    </row>
    <row r="29" spans="1:6" x14ac:dyDescent="0.25">
      <c r="A29" s="126"/>
      <c r="B29" s="52"/>
      <c r="C29" s="52"/>
      <c r="D29" s="52"/>
      <c r="E29" s="52"/>
      <c r="F29" s="52"/>
    </row>
    <row r="30" spans="1:6" x14ac:dyDescent="0.25">
      <c r="A30" s="124" t="s">
        <v>513</v>
      </c>
      <c r="B30" s="52"/>
      <c r="C30" s="52"/>
      <c r="D30" s="52"/>
      <c r="E30" s="52"/>
      <c r="F30" s="52"/>
    </row>
    <row r="31" spans="1:6" x14ac:dyDescent="0.25">
      <c r="A31" s="125" t="s">
        <v>498</v>
      </c>
      <c r="B31" s="58"/>
      <c r="C31" s="58"/>
      <c r="D31" s="58"/>
      <c r="E31" s="58"/>
      <c r="F31" s="58"/>
    </row>
    <row r="32" spans="1:6" x14ac:dyDescent="0.25">
      <c r="A32" s="125" t="s">
        <v>502</v>
      </c>
      <c r="B32" s="58"/>
      <c r="C32" s="58"/>
      <c r="D32" s="58"/>
      <c r="E32" s="58"/>
      <c r="F32" s="58"/>
    </row>
    <row r="33" spans="1:6" x14ac:dyDescent="0.25">
      <c r="A33" s="125" t="s">
        <v>514</v>
      </c>
      <c r="B33" s="58"/>
      <c r="C33" s="58"/>
      <c r="D33" s="58"/>
      <c r="E33" s="58"/>
      <c r="F33" s="58"/>
    </row>
    <row r="34" spans="1:6" x14ac:dyDescent="0.25">
      <c r="A34" s="126"/>
      <c r="B34" s="52"/>
      <c r="C34" s="52"/>
      <c r="D34" s="52"/>
      <c r="E34" s="52"/>
      <c r="F34" s="52"/>
    </row>
    <row r="35" spans="1:6" x14ac:dyDescent="0.25">
      <c r="A35" s="124" t="s">
        <v>515</v>
      </c>
      <c r="B35" s="52"/>
      <c r="C35" s="52"/>
      <c r="D35" s="52"/>
      <c r="E35" s="52"/>
      <c r="F35" s="52"/>
    </row>
    <row r="36" spans="1:6" x14ac:dyDescent="0.25">
      <c r="A36" s="125" t="s">
        <v>516</v>
      </c>
      <c r="B36" s="58"/>
      <c r="C36" s="58"/>
      <c r="D36" s="58"/>
      <c r="E36" s="58"/>
      <c r="F36" s="58"/>
    </row>
    <row r="37" spans="1:6" x14ac:dyDescent="0.25">
      <c r="A37" s="125" t="s">
        <v>517</v>
      </c>
      <c r="B37" s="58"/>
      <c r="C37" s="58"/>
      <c r="D37" s="58"/>
      <c r="E37" s="58"/>
      <c r="F37" s="58"/>
    </row>
    <row r="38" spans="1:6" x14ac:dyDescent="0.25">
      <c r="A38" s="125" t="s">
        <v>518</v>
      </c>
      <c r="B38" s="134"/>
      <c r="C38" s="58"/>
      <c r="D38" s="58"/>
      <c r="E38" s="58"/>
      <c r="F38" s="58"/>
    </row>
    <row r="39" spans="1:6" x14ac:dyDescent="0.25">
      <c r="A39" s="126"/>
      <c r="B39" s="52"/>
      <c r="C39" s="52"/>
      <c r="D39" s="52"/>
      <c r="E39" s="52"/>
      <c r="F39" s="52"/>
    </row>
    <row r="40" spans="1:6" x14ac:dyDescent="0.25">
      <c r="A40" s="124" t="s">
        <v>519</v>
      </c>
      <c r="B40" s="58"/>
      <c r="C40" s="58"/>
      <c r="D40" s="58"/>
      <c r="E40" s="58"/>
      <c r="F40" s="58"/>
    </row>
    <row r="41" spans="1:6" x14ac:dyDescent="0.25">
      <c r="A41" s="126"/>
      <c r="B41" s="52"/>
      <c r="C41" s="52"/>
      <c r="D41" s="52"/>
      <c r="E41" s="52"/>
      <c r="F41" s="52"/>
    </row>
    <row r="42" spans="1:6" x14ac:dyDescent="0.25">
      <c r="A42" s="124" t="s">
        <v>520</v>
      </c>
      <c r="B42" s="52"/>
      <c r="C42" s="52"/>
      <c r="D42" s="52"/>
      <c r="E42" s="52"/>
      <c r="F42" s="52"/>
    </row>
    <row r="43" spans="1:6" x14ac:dyDescent="0.25">
      <c r="A43" s="125" t="s">
        <v>521</v>
      </c>
      <c r="B43" s="58"/>
      <c r="C43" s="58"/>
      <c r="D43" s="58"/>
      <c r="E43" s="58"/>
      <c r="F43" s="58"/>
    </row>
    <row r="44" spans="1:6" x14ac:dyDescent="0.25">
      <c r="A44" s="125" t="s">
        <v>522</v>
      </c>
      <c r="B44" s="58"/>
      <c r="C44" s="58"/>
      <c r="D44" s="58"/>
      <c r="E44" s="58"/>
      <c r="F44" s="58"/>
    </row>
    <row r="45" spans="1:6" x14ac:dyDescent="0.25">
      <c r="A45" s="125" t="s">
        <v>523</v>
      </c>
      <c r="B45" s="58"/>
      <c r="C45" s="58"/>
      <c r="D45" s="58"/>
      <c r="E45" s="58"/>
      <c r="F45" s="58"/>
    </row>
    <row r="46" spans="1:6" x14ac:dyDescent="0.25">
      <c r="A46" s="126"/>
      <c r="B46" s="52"/>
      <c r="C46" s="52"/>
      <c r="D46" s="52"/>
      <c r="E46" s="52"/>
      <c r="F46" s="52"/>
    </row>
    <row r="47" spans="1:6" ht="30" x14ac:dyDescent="0.25">
      <c r="A47" s="124" t="s">
        <v>524</v>
      </c>
      <c r="B47" s="52"/>
      <c r="C47" s="52"/>
      <c r="D47" s="52"/>
      <c r="E47" s="52"/>
      <c r="F47" s="52"/>
    </row>
    <row r="48" spans="1:6" x14ac:dyDescent="0.25">
      <c r="A48" s="62" t="s">
        <v>522</v>
      </c>
      <c r="B48" s="133"/>
      <c r="C48" s="133"/>
      <c r="D48" s="133"/>
      <c r="E48" s="133"/>
      <c r="F48" s="133"/>
    </row>
    <row r="49" spans="1:6" x14ac:dyDescent="0.25">
      <c r="A49" s="62" t="s">
        <v>523</v>
      </c>
      <c r="B49" s="133"/>
      <c r="C49" s="133"/>
      <c r="D49" s="133"/>
      <c r="E49" s="133"/>
      <c r="F49" s="133"/>
    </row>
    <row r="50" spans="1:6" x14ac:dyDescent="0.25">
      <c r="A50" s="126"/>
      <c r="B50" s="52"/>
      <c r="C50" s="52"/>
      <c r="D50" s="52"/>
      <c r="E50" s="52"/>
      <c r="F50" s="52"/>
    </row>
    <row r="51" spans="1:6" x14ac:dyDescent="0.25">
      <c r="A51" s="124" t="s">
        <v>525</v>
      </c>
      <c r="B51" s="52"/>
      <c r="C51" s="52"/>
      <c r="D51" s="52"/>
      <c r="E51" s="52"/>
      <c r="F51" s="52"/>
    </row>
    <row r="52" spans="1:6" x14ac:dyDescent="0.25">
      <c r="A52" s="125" t="s">
        <v>522</v>
      </c>
      <c r="B52" s="58"/>
      <c r="C52" s="58"/>
      <c r="D52" s="58"/>
      <c r="E52" s="58"/>
      <c r="F52" s="58"/>
    </row>
    <row r="53" spans="1:6" x14ac:dyDescent="0.25">
      <c r="A53" s="125" t="s">
        <v>523</v>
      </c>
      <c r="B53" s="58"/>
      <c r="C53" s="58"/>
      <c r="D53" s="58"/>
      <c r="E53" s="58"/>
      <c r="F53" s="58"/>
    </row>
    <row r="54" spans="1:6" x14ac:dyDescent="0.25">
      <c r="A54" s="125" t="s">
        <v>526</v>
      </c>
      <c r="B54" s="58"/>
      <c r="C54" s="58"/>
      <c r="D54" s="58"/>
      <c r="E54" s="58"/>
      <c r="F54" s="58"/>
    </row>
    <row r="55" spans="1:6" x14ac:dyDescent="0.25">
      <c r="A55" s="126"/>
      <c r="B55" s="52"/>
      <c r="C55" s="52"/>
      <c r="D55" s="52"/>
      <c r="E55" s="52"/>
      <c r="F55" s="52"/>
    </row>
    <row r="56" spans="1:6" x14ac:dyDescent="0.25">
      <c r="A56" s="124" t="s">
        <v>527</v>
      </c>
      <c r="B56" s="52"/>
      <c r="C56" s="52"/>
      <c r="D56" s="52"/>
      <c r="E56" s="52"/>
      <c r="F56" s="52"/>
    </row>
    <row r="57" spans="1:6" x14ac:dyDescent="0.25">
      <c r="A57" s="125" t="s">
        <v>522</v>
      </c>
      <c r="B57" s="58"/>
      <c r="C57" s="58"/>
      <c r="D57" s="58"/>
      <c r="E57" s="58"/>
      <c r="F57" s="58"/>
    </row>
    <row r="58" spans="1:6" x14ac:dyDescent="0.25">
      <c r="A58" s="125" t="s">
        <v>523</v>
      </c>
      <c r="B58" s="58"/>
      <c r="C58" s="58"/>
      <c r="D58" s="58"/>
      <c r="E58" s="58"/>
      <c r="F58" s="58"/>
    </row>
    <row r="59" spans="1:6" x14ac:dyDescent="0.25">
      <c r="A59" s="126"/>
      <c r="B59" s="52"/>
      <c r="C59" s="52"/>
      <c r="D59" s="52"/>
      <c r="E59" s="52"/>
      <c r="F59" s="52"/>
    </row>
    <row r="60" spans="1:6" x14ac:dyDescent="0.25">
      <c r="A60" s="124" t="s">
        <v>528</v>
      </c>
      <c r="B60" s="52"/>
      <c r="C60" s="52"/>
      <c r="D60" s="52"/>
      <c r="E60" s="52"/>
      <c r="F60" s="52"/>
    </row>
    <row r="61" spans="1:6" x14ac:dyDescent="0.25">
      <c r="A61" s="125" t="s">
        <v>529</v>
      </c>
      <c r="B61" s="58"/>
      <c r="C61" s="58"/>
      <c r="D61" s="58"/>
      <c r="E61" s="58"/>
      <c r="F61" s="58"/>
    </row>
    <row r="62" spans="1:6" x14ac:dyDescent="0.25">
      <c r="A62" s="125" t="s">
        <v>530</v>
      </c>
      <c r="B62" s="134"/>
      <c r="C62" s="58"/>
      <c r="D62" s="58"/>
      <c r="E62" s="58"/>
      <c r="F62" s="58"/>
    </row>
    <row r="63" spans="1:6" x14ac:dyDescent="0.25">
      <c r="A63" s="126"/>
      <c r="B63" s="52"/>
      <c r="C63" s="52"/>
      <c r="D63" s="52"/>
      <c r="E63" s="52"/>
      <c r="F63" s="52"/>
    </row>
    <row r="64" spans="1:6" x14ac:dyDescent="0.25">
      <c r="A64" s="124" t="s">
        <v>531</v>
      </c>
      <c r="B64" s="52"/>
      <c r="C64" s="52"/>
      <c r="D64" s="52"/>
      <c r="E64" s="52"/>
      <c r="F64" s="52"/>
    </row>
    <row r="65" spans="1:6" x14ac:dyDescent="0.25">
      <c r="A65" s="125" t="s">
        <v>532</v>
      </c>
      <c r="B65" s="58"/>
      <c r="C65" s="58"/>
      <c r="D65" s="58"/>
      <c r="E65" s="58"/>
      <c r="F65" s="58"/>
    </row>
    <row r="66" spans="1:6" x14ac:dyDescent="0.25">
      <c r="A66" s="125" t="s">
        <v>533</v>
      </c>
      <c r="B66" s="58"/>
      <c r="C66" s="58"/>
      <c r="D66" s="58"/>
      <c r="E66" s="58"/>
      <c r="F66" s="58"/>
    </row>
    <row r="67" spans="1:6" x14ac:dyDescent="0.25">
      <c r="A67" s="130"/>
      <c r="B67" s="63"/>
      <c r="C67" s="63"/>
      <c r="D67" s="63"/>
      <c r="E67" s="63"/>
      <c r="F67" s="63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2018-02-23T20:04:40Z</cp:lastPrinted>
  <dcterms:created xsi:type="dcterms:W3CDTF">2017-01-19T17:59:06Z</dcterms:created>
  <dcterms:modified xsi:type="dcterms:W3CDTF">2018-02-23T20:52:55Z</dcterms:modified>
</cp:coreProperties>
</file>