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243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F6b!$A$3:$G$65</definedName>
    <definedName name="_xlnm._FilterDatabase" localSheetId="3" hidden="1">F6c!$A$3:$G$79</definedName>
    <definedName name="_xlnm._FilterDatabase" localSheetId="4" hidden="1">F6d!$A$3:$G$27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D68" i="2"/>
  <c r="E68" i="2"/>
  <c r="F68" i="2"/>
  <c r="G68" i="2"/>
  <c r="B68" i="2"/>
  <c r="G70" i="2" l="1"/>
  <c r="G71" i="2"/>
  <c r="G72" i="2"/>
  <c r="G73" i="2"/>
  <c r="G74" i="2"/>
  <c r="G75" i="2"/>
  <c r="G76" i="2"/>
  <c r="G77" i="2"/>
  <c r="G78" i="2"/>
  <c r="G69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F55" i="3" l="1"/>
  <c r="E55" i="3"/>
  <c r="C55" i="3"/>
  <c r="D55" i="3"/>
  <c r="F18" i="3"/>
  <c r="E18" i="3"/>
  <c r="D64" i="3"/>
  <c r="D18" i="3"/>
  <c r="D46" i="3"/>
  <c r="D27" i="3"/>
  <c r="C129" i="1"/>
  <c r="C54" i="1"/>
  <c r="C18" i="3"/>
  <c r="C27" i="3"/>
  <c r="C5" i="3"/>
  <c r="G27" i="3"/>
  <c r="F27" i="3"/>
  <c r="E27" i="3"/>
  <c r="E64" i="3"/>
  <c r="F64" i="3"/>
  <c r="C64" i="3"/>
  <c r="G9" i="3"/>
  <c r="F9" i="3"/>
  <c r="E9" i="3"/>
  <c r="D9" i="3"/>
  <c r="C9" i="3"/>
  <c r="B9" i="3"/>
  <c r="F46" i="3"/>
  <c r="E46" i="3"/>
  <c r="C46" i="3"/>
  <c r="B46" i="3"/>
  <c r="B55" i="3"/>
  <c r="B18" i="3"/>
  <c r="G55" i="3" l="1"/>
  <c r="D74" i="3"/>
  <c r="D71" i="3"/>
  <c r="D70" i="3"/>
  <c r="D69" i="3"/>
  <c r="D68" i="3"/>
  <c r="D67" i="3"/>
  <c r="D66" i="3"/>
  <c r="D65" i="3"/>
  <c r="D63" i="3"/>
  <c r="D60" i="3"/>
  <c r="D59" i="3"/>
  <c r="D58" i="3"/>
  <c r="D57" i="3"/>
  <c r="D56" i="3"/>
  <c r="D54" i="3"/>
  <c r="G45" i="1" l="1"/>
  <c r="G46" i="1"/>
  <c r="G47" i="1"/>
  <c r="G48" i="1"/>
  <c r="G49" i="1"/>
  <c r="G50" i="1"/>
  <c r="G51" i="1"/>
  <c r="G52" i="1"/>
  <c r="G35" i="1"/>
  <c r="G36" i="1"/>
  <c r="G37" i="1"/>
  <c r="G38" i="1"/>
  <c r="G39" i="1"/>
  <c r="G40" i="1"/>
  <c r="G41" i="1"/>
  <c r="G42" i="1"/>
  <c r="G25" i="1"/>
  <c r="G26" i="1"/>
  <c r="G27" i="1"/>
  <c r="G28" i="1"/>
  <c r="G29" i="1"/>
  <c r="G30" i="1"/>
  <c r="G31" i="1"/>
  <c r="G32" i="1"/>
  <c r="G24" i="1"/>
  <c r="G15" i="1"/>
  <c r="G16" i="1"/>
  <c r="G17" i="1"/>
  <c r="G18" i="1"/>
  <c r="G19" i="1"/>
  <c r="G20" i="1"/>
  <c r="G21" i="1"/>
  <c r="G22" i="1"/>
  <c r="G14" i="1"/>
  <c r="G7" i="1"/>
  <c r="G8" i="1"/>
  <c r="G9" i="1"/>
  <c r="G10" i="1"/>
  <c r="G11" i="1"/>
  <c r="G12" i="1"/>
  <c r="G6" i="1"/>
  <c r="G5" i="1"/>
  <c r="G13" i="1"/>
  <c r="E13" i="1"/>
  <c r="E4" i="1" s="1"/>
  <c r="D13" i="1"/>
  <c r="E7" i="1"/>
  <c r="F7" i="1"/>
  <c r="F82" i="1"/>
  <c r="E82" i="1"/>
  <c r="F27" i="1"/>
  <c r="E27" i="1"/>
  <c r="F102" i="1"/>
  <c r="E102" i="1"/>
  <c r="G4" i="1" l="1"/>
  <c r="B129" i="1" l="1"/>
  <c r="B54" i="1"/>
  <c r="C102" i="1"/>
  <c r="D102" i="1"/>
  <c r="B102" i="1"/>
  <c r="D27" i="1"/>
  <c r="C27" i="1"/>
  <c r="B27" i="1"/>
  <c r="D22" i="1"/>
  <c r="D20" i="1"/>
  <c r="D18" i="1"/>
  <c r="E17" i="1"/>
  <c r="F17" i="1"/>
  <c r="D17" i="1"/>
  <c r="D7" i="1"/>
  <c r="E92" i="1"/>
  <c r="F92" i="1"/>
  <c r="D82" i="1"/>
  <c r="D92" i="1"/>
  <c r="D93" i="1"/>
  <c r="D95" i="1"/>
  <c r="D97" i="1"/>
  <c r="C97" i="1"/>
  <c r="C22" i="1"/>
  <c r="C20" i="1"/>
  <c r="C95" i="1"/>
  <c r="C93" i="1"/>
  <c r="C18" i="1"/>
  <c r="C17" i="1"/>
  <c r="C7" i="1"/>
  <c r="C92" i="1"/>
  <c r="B7" i="1"/>
  <c r="C82" i="1"/>
  <c r="F129" i="1" l="1"/>
  <c r="E129" i="1"/>
  <c r="F54" i="1"/>
  <c r="E54" i="1"/>
  <c r="D129" i="1"/>
  <c r="D54" i="1"/>
  <c r="F111" i="1"/>
  <c r="E111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G16" i="4" s="1"/>
  <c r="F16" i="4"/>
  <c r="E16" i="4"/>
  <c r="D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F4" i="4"/>
  <c r="F27" i="4" s="1"/>
  <c r="D4" i="4"/>
  <c r="D27" i="4" s="1"/>
  <c r="C4" i="4"/>
  <c r="B4" i="4"/>
  <c r="B27" i="4" s="1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 s="1"/>
  <c r="C62" i="3"/>
  <c r="B62" i="3"/>
  <c r="G60" i="3"/>
  <c r="G59" i="3"/>
  <c r="G58" i="3"/>
  <c r="G57" i="3"/>
  <c r="G56" i="3"/>
  <c r="G54" i="3"/>
  <c r="F53" i="3"/>
  <c r="E53" i="3"/>
  <c r="E42" i="3" s="1"/>
  <c r="D53" i="3"/>
  <c r="C53" i="3"/>
  <c r="C42" i="3" s="1"/>
  <c r="B53" i="3"/>
  <c r="G51" i="3"/>
  <c r="G50" i="3"/>
  <c r="G49" i="3"/>
  <c r="G48" i="3"/>
  <c r="G47" i="3"/>
  <c r="G46" i="3"/>
  <c r="G45" i="3"/>
  <c r="G44" i="3"/>
  <c r="F43" i="3"/>
  <c r="E43" i="3"/>
  <c r="D43" i="3"/>
  <c r="C43" i="3"/>
  <c r="B43" i="3"/>
  <c r="G40" i="3"/>
  <c r="G39" i="3"/>
  <c r="G38" i="3"/>
  <c r="G37" i="3"/>
  <c r="F36" i="3"/>
  <c r="E36" i="3"/>
  <c r="D36" i="3"/>
  <c r="G36" i="3" s="1"/>
  <c r="C36" i="3"/>
  <c r="B36" i="3"/>
  <c r="G34" i="3"/>
  <c r="G33" i="3"/>
  <c r="G32" i="3"/>
  <c r="G31" i="3"/>
  <c r="G30" i="3"/>
  <c r="G29" i="3"/>
  <c r="G28" i="3"/>
  <c r="G26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F5" i="3" s="1"/>
  <c r="E16" i="3"/>
  <c r="D16" i="3"/>
  <c r="D5" i="3" s="1"/>
  <c r="C16" i="3"/>
  <c r="B16" i="3"/>
  <c r="G14" i="3"/>
  <c r="G13" i="3"/>
  <c r="G12" i="3"/>
  <c r="G11" i="3"/>
  <c r="G10" i="3"/>
  <c r="G8" i="3"/>
  <c r="G7" i="3"/>
  <c r="F6" i="3"/>
  <c r="E6" i="3"/>
  <c r="D6" i="3"/>
  <c r="C6" i="3"/>
  <c r="B6" i="3"/>
  <c r="B5" i="3" s="1"/>
  <c r="D80" i="2"/>
  <c r="C80" i="2"/>
  <c r="G6" i="2"/>
  <c r="G5" i="2" s="1"/>
  <c r="F5" i="2"/>
  <c r="E5" i="2"/>
  <c r="D5" i="2"/>
  <c r="C5" i="2"/>
  <c r="B5" i="2"/>
  <c r="G152" i="1"/>
  <c r="G151" i="1"/>
  <c r="G150" i="1"/>
  <c r="G149" i="1"/>
  <c r="G148" i="1"/>
  <c r="G147" i="1"/>
  <c r="G146" i="1"/>
  <c r="F145" i="1"/>
  <c r="E145" i="1"/>
  <c r="D145" i="1"/>
  <c r="G145" i="1" s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 s="1"/>
  <c r="C132" i="1"/>
  <c r="B132" i="1"/>
  <c r="G131" i="1"/>
  <c r="G130" i="1"/>
  <c r="G129" i="1"/>
  <c r="F128" i="1"/>
  <c r="E128" i="1"/>
  <c r="D128" i="1"/>
  <c r="G128" i="1" s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 s="1"/>
  <c r="C118" i="1"/>
  <c r="B118" i="1"/>
  <c r="G117" i="1"/>
  <c r="G116" i="1"/>
  <c r="G115" i="1"/>
  <c r="G114" i="1"/>
  <c r="G113" i="1"/>
  <c r="G112" i="1"/>
  <c r="G111" i="1"/>
  <c r="G110" i="1"/>
  <c r="G109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D88" i="1"/>
  <c r="G88" i="1" s="1"/>
  <c r="C88" i="1"/>
  <c r="B88" i="1"/>
  <c r="G87" i="1"/>
  <c r="G86" i="1"/>
  <c r="G85" i="1"/>
  <c r="G84" i="1"/>
  <c r="G83" i="1"/>
  <c r="G82" i="1"/>
  <c r="G81" i="1"/>
  <c r="F80" i="1"/>
  <c r="E80" i="1"/>
  <c r="D80" i="1"/>
  <c r="C80" i="1"/>
  <c r="B80" i="1"/>
  <c r="G77" i="1"/>
  <c r="G76" i="1"/>
  <c r="G75" i="1"/>
  <c r="G74" i="1"/>
  <c r="G73" i="1"/>
  <c r="G72" i="1"/>
  <c r="G71" i="1"/>
  <c r="F70" i="1"/>
  <c r="E70" i="1"/>
  <c r="D70" i="1"/>
  <c r="G70" i="1" s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 s="1"/>
  <c r="C57" i="1"/>
  <c r="B57" i="1"/>
  <c r="G56" i="1"/>
  <c r="G55" i="1"/>
  <c r="G54" i="1"/>
  <c r="F53" i="1"/>
  <c r="E53" i="1"/>
  <c r="D53" i="1"/>
  <c r="C53" i="1"/>
  <c r="B53" i="1"/>
  <c r="G44" i="1"/>
  <c r="F43" i="1"/>
  <c r="E43" i="1"/>
  <c r="D43" i="1"/>
  <c r="G43" i="1" s="1"/>
  <c r="C43" i="1"/>
  <c r="B43" i="1"/>
  <c r="G34" i="1"/>
  <c r="F33" i="1"/>
  <c r="E33" i="1"/>
  <c r="D33" i="1"/>
  <c r="G33" i="1" s="1"/>
  <c r="C33" i="1"/>
  <c r="B33" i="1"/>
  <c r="F23" i="1"/>
  <c r="E23" i="1"/>
  <c r="D23" i="1"/>
  <c r="C23" i="1"/>
  <c r="B23" i="1"/>
  <c r="F13" i="1"/>
  <c r="C13" i="1"/>
  <c r="B13" i="1"/>
  <c r="F5" i="1"/>
  <c r="E5" i="1"/>
  <c r="D5" i="1"/>
  <c r="C5" i="1"/>
  <c r="B5" i="1"/>
  <c r="B80" i="2" l="1"/>
  <c r="E80" i="2"/>
  <c r="G80" i="2"/>
  <c r="F80" i="2"/>
  <c r="G25" i="3"/>
  <c r="E5" i="3"/>
  <c r="G53" i="3"/>
  <c r="G43" i="3"/>
  <c r="F42" i="3"/>
  <c r="B42" i="3"/>
  <c r="B79" i="3" s="1"/>
  <c r="G16" i="3"/>
  <c r="G6" i="3"/>
  <c r="G23" i="1"/>
  <c r="G98" i="1"/>
  <c r="G108" i="1"/>
  <c r="C4" i="1"/>
  <c r="B79" i="1"/>
  <c r="F79" i="1"/>
  <c r="C79" i="1"/>
  <c r="D79" i="1"/>
  <c r="G80" i="1"/>
  <c r="G79" i="1" s="1"/>
  <c r="E79" i="1"/>
  <c r="G53" i="1"/>
  <c r="D4" i="1"/>
  <c r="B4" i="1"/>
  <c r="F4" i="1"/>
  <c r="C27" i="4"/>
  <c r="D42" i="3"/>
  <c r="G11" i="4"/>
  <c r="G4" i="4" s="1"/>
  <c r="G27" i="4" s="1"/>
  <c r="F79" i="3" l="1"/>
  <c r="C79" i="3"/>
  <c r="E79" i="3"/>
  <c r="G5" i="3"/>
  <c r="G42" i="3"/>
  <c r="B154" i="1"/>
  <c r="C154" i="1"/>
  <c r="F154" i="1"/>
  <c r="D154" i="1"/>
  <c r="E154" i="1"/>
  <c r="G154" i="1"/>
  <c r="D79" i="3"/>
  <c r="G79" i="3" l="1"/>
</calcChain>
</file>

<file path=xl/sharedStrings.xml><?xml version="1.0" encoding="utf-8"?>
<sst xmlns="http://schemas.openxmlformats.org/spreadsheetml/2006/main" count="350" uniqueCount="205">
  <si>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</si>
  <si>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</si>
  <si>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</si>
  <si>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</si>
  <si>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</si>
  <si>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</si>
  <si>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</si>
  <si>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</si>
  <si>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</si>
  <si>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</si>
  <si>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</si>
  <si>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</si>
  <si>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</si>
  <si>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</si>
  <si>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</si>
  <si>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</si>
  <si>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</si>
  <si>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</si>
  <si>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</si>
  <si>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</si>
  <si>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</si>
  <si>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</si>
  <si>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</si>
  <si>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</si>
  <si>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</si>
  <si>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</si>
  <si>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</si>
  <si>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</si>
  <si>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</si>
  <si>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</si>
  <si>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</si>
  <si>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</si>
  <si>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</si>
  <si>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</si>
  <si>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</si>
  <si>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</si>
  <si>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</si>
  <si>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</si>
  <si>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</si>
  <si>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</si>
  <si>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</si>
  <si>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</si>
  <si>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</si>
  <si>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</si>
  <si>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</si>
  <si>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</si>
  <si>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</si>
  <si>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</si>
  <si>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</si>
  <si>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</si>
  <si>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</si>
  <si>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</si>
  <si>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</si>
  <si>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</si>
  <si>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</si>
  <si>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</si>
  <si>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</si>
  <si>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</si>
  <si>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</si>
  <si>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</si>
  <si>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</si>
  <si>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</si>
  <si>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</si>
  <si>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</si>
  <si>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</si>
  <si>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</si>
  <si>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</si>
  <si>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</si>
  <si>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</si>
  <si>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</si>
  <si>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</si>
  <si>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</si>
  <si>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</si>
  <si>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</si>
  <si>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</si>
  <si>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</si>
  <si>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</si>
  <si>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</si>
  <si>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</si>
  <si>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</si>
  <si>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</si>
  <si>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</si>
  <si>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</si>
  <si>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</si>
  <si>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</si>
  <si>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</si>
  <si>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</si>
  <si>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</si>
  <si>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</si>
  <si>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</si>
  <si>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</si>
  <si>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</si>
  <si>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</si>
  <si>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</si>
  <si>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</si>
  <si>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</si>
  <si>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</si>
  <si>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</si>
  <si>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</si>
  <si>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</si>
  <si>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</si>
  <si>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</si>
  <si>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</si>
  <si>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</si>
  <si>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</si>
  <si>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</si>
  <si>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</si>
  <si>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</si>
  <si>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</si>
  <si>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</si>
  <si>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</si>
  <si>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</si>
  <si>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</si>
  <si>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</si>
  <si>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</si>
  <si>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</si>
  <si>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</si>
  <si>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</si>
  <si>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</si>
  <si>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</si>
  <si>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</si>
  <si>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</si>
  <si>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</si>
  <si>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</si>
  <si>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</si>
  <si>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</si>
  <si>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</si>
  <si>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</si>
  <si>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</si>
  <si>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</si>
  <si>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</si>
  <si>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</si>
  <si>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</si>
  <si>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</si>
  <si>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</si>
  <si>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</si>
  <si>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</si>
  <si>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</si>
  <si>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</si>
  <si>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</si>
  <si>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</si>
  <si>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VALLE DE SANTIAGO, GTO.                                                      
    Estado Analítico del Ejercicio del Presupuesto de Egresos Detallado - LDF
Clasificación por Objeto del Gasto (Capítulo y  (b)
Concepto)Del 1 de enero al 31 de diciembre  de 2016(PESOS)</t>
  </si>
  <si>
    <t>MUNICIPIO DE VALLE DE SANTIAGO,GTO.
Estado Analítico del Ejercicio del Presupuesto de Egresos Detallado - LDF
Clasificación Funcional (Finalidad y Función)
Del 1 de enero Al 31 de diciembre de 2016 (b)
(PESOS)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</si>
  <si>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</si>
  <si>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</si>
  <si>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</si>
  <si>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</si>
  <si>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</si>
  <si>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</si>
  <si>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</si>
  <si>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</si>
  <si>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</si>
  <si>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</si>
  <si>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</si>
  <si>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</si>
  <si>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</si>
  <si>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</si>
  <si>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</si>
  <si>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</si>
  <si>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</si>
  <si>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</si>
  <si>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</si>
  <si>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</si>
  <si>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</si>
  <si>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</si>
  <si>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</si>
  <si>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</si>
  <si>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</si>
  <si>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</si>
  <si>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</si>
  <si>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</si>
  <si>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</si>
  <si>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</si>
  <si>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</si>
  <si>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</si>
  <si>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</si>
  <si>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</si>
  <si>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</si>
  <si>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</si>
  <si>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</si>
  <si>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</si>
  <si>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</si>
  <si>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31111-1101  DES DIR SEG PUB TRAN</t>
  </si>
  <si>
    <t>31111-1102  DIR MPAL PROTE CIVIL</t>
  </si>
  <si>
    <t>31111-1103  TRANSTO Y TRANSPORTE</t>
  </si>
  <si>
    <t>31111-1104  CARCEL MUNICIPAL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</si>
  <si>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</si>
  <si>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</si>
  <si>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</si>
  <si>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</si>
  <si>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</si>
  <si>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</si>
  <si>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</si>
  <si>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</si>
  <si>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</si>
  <si>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</si>
  <si>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</si>
  <si>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</si>
  <si>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</si>
  <si>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</si>
  <si>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</si>
  <si>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</si>
  <si>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</si>
  <si>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MUNICIPIO DE VALLE DE SANTIAGO, GTO.
Estado Analítico del Ejercicio del Presupuesto de Egresos Detallado - LDF
Clasificación Administrativa
Del 1 de enero al 31 de  diciembre de 2016 (b)
(PESOS)</t>
  </si>
  <si>
    <t>MUNICIPIO DE VALLE DE SANTIAGO, GTO.
Estado Analítico del Ejercicio del Presupuesto de Egresos Detallado - LDF
Clasificación de Servicios Personales por Categoría
Del 1 de enero al 31 de diciembre de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</si>
</sst>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_ ;\-#,##0.00\ "/>
    <numFmt numFmtId="167" formatCode="#,##0.0_ ;\-#,##0.0\ "/>
  </numFmts>
  <fonts count="9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</cellStyleXfs>
  <cellXfs count="81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164" fontId="2" fillId="0" borderId="7" xfId="0" applyNumberFormat="1" applyFont="1" applyFill="1" applyBorder="1" applyProtection="1">
      <protection locked="0"/>
    </xf>
    <xf numFmtId="165" fontId="2" fillId="0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left"/>
    </xf>
    <xf numFmtId="164" fontId="2" fillId="0" borderId="7" xfId="0" applyNumberFormat="1" applyFont="1" applyFill="1" applyBorder="1"/>
    <xf numFmtId="165" fontId="2" fillId="0" borderId="7" xfId="0" applyNumberFormat="1" applyFont="1" applyFill="1" applyBorder="1"/>
    <xf numFmtId="0" fontId="1" fillId="0" borderId="7" xfId="0" applyFont="1" applyFill="1" applyBorder="1" applyAlignment="1">
      <alignment horizontal="left" vertical="center" indent="1"/>
    </xf>
    <xf numFmtId="4" fontId="1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2"/>
    </xf>
    <xf numFmtId="0" fontId="7" fillId="0" borderId="0" xfId="3" applyFont="1" applyAlignment="1" applyProtection="1">
      <alignment vertical="top"/>
    </xf>
    <xf numFmtId="0" fontId="7" fillId="0" borderId="0" xfId="3" applyFont="1" applyAlignment="1" applyProtection="1">
      <alignment vertical="top" wrapText="1"/>
    </xf>
    <xf numFmtId="4" fontId="7" fillId="0" borderId="0" xfId="3" applyNumberFormat="1" applyFont="1" applyAlignment="1" applyProtection="1">
      <alignment vertical="top"/>
    </xf>
    <xf numFmtId="0" fontId="7" fillId="0" borderId="0" xfId="3" applyFont="1" applyAlignment="1">
      <alignment vertical="top"/>
    </xf>
    <xf numFmtId="0" fontId="7" fillId="0" borderId="0" xfId="3" applyFont="1" applyAlignment="1" applyProtection="1">
      <alignment vertical="top"/>
      <protection locked="0"/>
    </xf>
    <xf numFmtId="0" fontId="7" fillId="0" borderId="0" xfId="3" applyFont="1" applyBorder="1" applyAlignment="1" applyProtection="1">
      <alignment vertical="top"/>
      <protection locked="0"/>
    </xf>
    <xf numFmtId="0" fontId="7" fillId="0" borderId="0" xfId="3" applyFont="1" applyBorder="1" applyAlignment="1" applyProtection="1">
      <alignment vertical="top" wrapText="1"/>
      <protection locked="0"/>
    </xf>
    <xf numFmtId="4" fontId="7" fillId="0" borderId="0" xfId="3" applyNumberFormat="1" applyFont="1" applyBorder="1" applyAlignment="1" applyProtection="1">
      <alignment vertical="top"/>
      <protection locked="0"/>
    </xf>
    <xf numFmtId="0" fontId="7" fillId="0" borderId="0" xfId="3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vertical="center"/>
    </xf>
    <xf numFmtId="0" fontId="2" fillId="0" borderId="0" xfId="0" applyFont="1" applyFill="1"/>
    <xf numFmtId="0" fontId="1" fillId="0" borderId="7" xfId="0" applyFont="1" applyFill="1" applyBorder="1" applyAlignment="1">
      <alignment horizontal="left" vertical="center" wrapText="1" indent="1"/>
    </xf>
    <xf numFmtId="43" fontId="2" fillId="0" borderId="0" xfId="2" applyFont="1" applyFill="1"/>
    <xf numFmtId="4" fontId="2" fillId="0" borderId="0" xfId="0" applyNumberFormat="1" applyFont="1" applyFill="1"/>
    <xf numFmtId="0" fontId="2" fillId="0" borderId="7" xfId="0" applyFont="1" applyFill="1" applyBorder="1" applyAlignment="1">
      <alignment horizontal="left" vertical="center" wrapText="1" indent="2"/>
    </xf>
    <xf numFmtId="4" fontId="2" fillId="0" borderId="8" xfId="0" applyNumberFormat="1" applyFont="1" applyFill="1" applyBorder="1" applyAlignment="1">
      <alignment vertical="center"/>
    </xf>
    <xf numFmtId="166" fontId="2" fillId="0" borderId="7" xfId="0" applyNumberFormat="1" applyFont="1" applyFill="1" applyBorder="1"/>
    <xf numFmtId="166" fontId="2" fillId="0" borderId="0" xfId="0" applyNumberFormat="1" applyFont="1" applyFill="1"/>
    <xf numFmtId="4" fontId="2" fillId="0" borderId="0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justify" vertical="center"/>
    </xf>
    <xf numFmtId="4" fontId="1" fillId="0" borderId="6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4" fontId="1" fillId="0" borderId="4" xfId="0" applyNumberFormat="1" applyFont="1" applyFill="1" applyBorder="1" applyAlignment="1">
      <alignment vertical="center"/>
    </xf>
    <xf numFmtId="0" fontId="8" fillId="0" borderId="0" xfId="0" applyFont="1" applyFill="1"/>
    <xf numFmtId="43" fontId="8" fillId="0" borderId="0" xfId="2" applyFont="1" applyFill="1"/>
    <xf numFmtId="4" fontId="8" fillId="0" borderId="0" xfId="0" applyNumberFormat="1" applyFont="1" applyFill="1"/>
    <xf numFmtId="166" fontId="8" fillId="0" borderId="0" xfId="0" applyNumberFormat="1" applyFont="1" applyFill="1"/>
    <xf numFmtId="167" fontId="8" fillId="0" borderId="0" xfId="0" applyNumberFormat="1" applyFont="1" applyFill="1"/>
    <xf numFmtId="43" fontId="8" fillId="0" borderId="0" xfId="2" applyFont="1"/>
    <xf numFmtId="43" fontId="8" fillId="0" borderId="0" xfId="0" applyNumberFormat="1" applyFont="1"/>
    <xf numFmtId="167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colors>
    <mruColors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9525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2486026</xdr:colOff>
      <xdr:row>157</xdr:row>
      <xdr:rowOff>57150</xdr:rowOff>
    </xdr:from>
    <xdr:to>
      <xdr:col>1</xdr:col>
      <xdr:colOff>3038476</xdr:colOff>
      <xdr:row>159</xdr:row>
      <xdr:rowOff>19050</xdr:rowOff>
    </xdr:to>
    <xdr:sp macro="" textlink="">
      <xdr:nvSpPr>
        <xdr:cNvPr id="4" name="6 CuadroTexto"/>
        <xdr:cNvSpPr txBox="1"/>
      </xdr:nvSpPr>
      <xdr:spPr>
        <a:xfrm>
          <a:off x="4552951" y="135445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83</xdr:row>
      <xdr:rowOff>57150</xdr:rowOff>
    </xdr:from>
    <xdr:to>
      <xdr:col>1</xdr:col>
      <xdr:colOff>3038476</xdr:colOff>
      <xdr:row>85</xdr:row>
      <xdr:rowOff>19050</xdr:rowOff>
    </xdr:to>
    <xdr:sp macro="" textlink="">
      <xdr:nvSpPr>
        <xdr:cNvPr id="3" name="6 CuadroTexto"/>
        <xdr:cNvSpPr txBox="1"/>
      </xdr:nvSpPr>
      <xdr:spPr>
        <a:xfrm>
          <a:off x="6153151" y="259175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3971925</xdr:colOff>
      <xdr:row>89</xdr:row>
      <xdr:rowOff>114300</xdr:rowOff>
    </xdr:from>
    <xdr:to>
      <xdr:col>0</xdr:col>
      <xdr:colOff>4524375</xdr:colOff>
      <xdr:row>91</xdr:row>
      <xdr:rowOff>76200</xdr:rowOff>
    </xdr:to>
    <xdr:sp macro="" textlink="">
      <xdr:nvSpPr>
        <xdr:cNvPr id="9" name="16 CuadroTexto"/>
        <xdr:cNvSpPr txBox="1"/>
      </xdr:nvSpPr>
      <xdr:spPr>
        <a:xfrm>
          <a:off x="3971925" y="26831925"/>
          <a:ext cx="5524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19050</xdr:rowOff>
    </xdr:to>
    <xdr:pic>
      <xdr:nvPicPr>
        <xdr:cNvPr id="18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19050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2486026</xdr:colOff>
      <xdr:row>82</xdr:row>
      <xdr:rowOff>57150</xdr:rowOff>
    </xdr:from>
    <xdr:to>
      <xdr:col>1</xdr:col>
      <xdr:colOff>3038476</xdr:colOff>
      <xdr:row>84</xdr:row>
      <xdr:rowOff>19050</xdr:rowOff>
    </xdr:to>
    <xdr:sp macro="" textlink="">
      <xdr:nvSpPr>
        <xdr:cNvPr id="4" name="6 CuadroTexto"/>
        <xdr:cNvSpPr txBox="1"/>
      </xdr:nvSpPr>
      <xdr:spPr>
        <a:xfrm>
          <a:off x="3581401" y="123634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3971925</xdr:colOff>
      <xdr:row>88</xdr:row>
      <xdr:rowOff>114300</xdr:rowOff>
    </xdr:from>
    <xdr:to>
      <xdr:col>0</xdr:col>
      <xdr:colOff>4524375</xdr:colOff>
      <xdr:row>90</xdr:row>
      <xdr:rowOff>76200</xdr:rowOff>
    </xdr:to>
    <xdr:sp macro="" textlink="">
      <xdr:nvSpPr>
        <xdr:cNvPr id="9" name="16 CuadroTexto"/>
        <xdr:cNvSpPr txBox="1"/>
      </xdr:nvSpPr>
      <xdr:spPr>
        <a:xfrm>
          <a:off x="2619375" y="132778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6"/>
  </cols>
  <sheetData>
    <row r="1" spans="1:2" x14ac:dyDescent="0.2">
      <c r="A1" s="25"/>
      <c r="B1" s="25"/>
    </row>
    <row r="2020" spans="1:1" x14ac:dyDescent="0.2">
      <c r="A2020" s="27" t="s">
        <v>140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workbookViewId="0">
      <selection activeCell="M19" sqref="M19"/>
    </sheetView>
  </sheetViews>
  <sheetFormatPr baseColWidth="10" defaultRowHeight="12.75" x14ac:dyDescent="0.2"/>
  <cols>
    <col min="1" max="1" width="90.83203125" style="62" customWidth="1"/>
    <col min="2" max="7" width="16.83203125" style="62" customWidth="1"/>
    <col min="8" max="8" width="12.5" style="62" bestFit="1" customWidth="1"/>
    <col min="9" max="9" width="17.5" style="62" bestFit="1" customWidth="1"/>
    <col min="10" max="10" width="12.6640625" style="62" bestFit="1" customWidth="1"/>
    <col min="11" max="11" width="17.5" style="62" bestFit="1" customWidth="1"/>
    <col min="12" max="16384" width="12" style="62"/>
  </cols>
  <sheetData>
    <row r="1" spans="1:12" ht="63.75" customHeight="1" x14ac:dyDescent="0.2">
      <c r="A1" s="74" t="s">
        <v>141</v>
      </c>
      <c r="B1" s="75"/>
      <c r="C1" s="75"/>
      <c r="D1" s="75"/>
      <c r="E1" s="75"/>
      <c r="F1" s="75"/>
      <c r="G1" s="76"/>
    </row>
    <row r="2" spans="1:12" x14ac:dyDescent="0.2">
      <c r="A2" s="16"/>
      <c r="B2" s="77" t="s">
        <v>0</v>
      </c>
      <c r="C2" s="77"/>
      <c r="D2" s="77"/>
      <c r="E2" s="77"/>
      <c r="F2" s="77"/>
      <c r="G2" s="16"/>
    </row>
    <row r="3" spans="1:12" ht="22.5" x14ac:dyDescent="0.2">
      <c r="A3" s="17" t="s">
        <v>1</v>
      </c>
      <c r="B3" s="63" t="s">
        <v>2</v>
      </c>
      <c r="C3" s="61" t="s">
        <v>3</v>
      </c>
      <c r="D3" s="63" t="s">
        <v>4</v>
      </c>
      <c r="E3" s="63" t="s">
        <v>5</v>
      </c>
      <c r="F3" s="63" t="s">
        <v>6</v>
      </c>
      <c r="G3" s="17" t="s">
        <v>7</v>
      </c>
    </row>
    <row r="4" spans="1:12" s="66" customFormat="1" x14ac:dyDescent="0.2">
      <c r="A4" s="64" t="s">
        <v>8</v>
      </c>
      <c r="B4" s="65">
        <f>B5+B13+B23+B33+B43+B53+B57+B66+B70</f>
        <v>171094980.94000003</v>
      </c>
      <c r="C4" s="65">
        <f t="shared" ref="C4:F4" si="0">C5+C13+C23+C33+C43+C53+C57+C66+C70</f>
        <v>7676799.4199999999</v>
      </c>
      <c r="D4" s="65">
        <f t="shared" si="0"/>
        <v>178771780.36000001</v>
      </c>
      <c r="E4" s="65">
        <f>E5+E13+E23+E33+E43+E53+E57+E66+E70</f>
        <v>164599735.33000004</v>
      </c>
      <c r="F4" s="65">
        <f t="shared" si="0"/>
        <v>162402253.96000004</v>
      </c>
      <c r="G4" s="65">
        <f>G5+G13+G23+G33+G43+G53+G57+G66+G70</f>
        <v>14172045.029999994</v>
      </c>
      <c r="I4" s="67"/>
      <c r="J4" s="67"/>
      <c r="K4" s="67"/>
      <c r="L4" s="68"/>
    </row>
    <row r="5" spans="1:12" s="66" customFormat="1" x14ac:dyDescent="0.2">
      <c r="A5" s="36" t="s">
        <v>9</v>
      </c>
      <c r="B5" s="35">
        <f>SUM(B6:B12)</f>
        <v>89849943.290000007</v>
      </c>
      <c r="C5" s="35">
        <f t="shared" ref="C5:F5" si="1">SUM(C6:C12)</f>
        <v>2945958.42</v>
      </c>
      <c r="D5" s="35">
        <f t="shared" si="1"/>
        <v>92795901.710000008</v>
      </c>
      <c r="E5" s="35">
        <f t="shared" si="1"/>
        <v>90006258.210000023</v>
      </c>
      <c r="F5" s="35">
        <f t="shared" si="1"/>
        <v>89710894.700000018</v>
      </c>
      <c r="G5" s="35">
        <f>SUM(G6:G12)</f>
        <v>2789643.4999999925</v>
      </c>
    </row>
    <row r="6" spans="1:12" s="66" customFormat="1" x14ac:dyDescent="0.2">
      <c r="A6" s="37" t="s">
        <v>10</v>
      </c>
      <c r="B6" s="30">
        <v>51784565</v>
      </c>
      <c r="C6" s="30">
        <v>-7094</v>
      </c>
      <c r="D6" s="30">
        <v>51777471</v>
      </c>
      <c r="E6" s="30">
        <v>51374526.170000009</v>
      </c>
      <c r="F6" s="30">
        <v>51374526.170000009</v>
      </c>
      <c r="G6" s="30">
        <f>D6-E6</f>
        <v>402944.82999999076</v>
      </c>
      <c r="H6" s="68"/>
    </row>
    <row r="7" spans="1:12" s="66" customFormat="1" x14ac:dyDescent="0.2">
      <c r="A7" s="37" t="s">
        <v>11</v>
      </c>
      <c r="B7" s="30">
        <f>922600</f>
        <v>922600</v>
      </c>
      <c r="C7" s="30">
        <f>1950740.12+189120</f>
        <v>2139860.12</v>
      </c>
      <c r="D7" s="30">
        <f>2873340.12+189120</f>
        <v>3062460.12</v>
      </c>
      <c r="E7" s="30">
        <f>2770287.31+164900</f>
        <v>2935187.31</v>
      </c>
      <c r="F7" s="30">
        <f>2770287.31+164900</f>
        <v>2935187.31</v>
      </c>
      <c r="G7" s="30">
        <f t="shared" ref="G7:G12" si="2">D7-E7</f>
        <v>127272.81000000006</v>
      </c>
    </row>
    <row r="8" spans="1:12" s="66" customFormat="1" x14ac:dyDescent="0.2">
      <c r="A8" s="37" t="s">
        <v>12</v>
      </c>
      <c r="B8" s="30">
        <v>13978407</v>
      </c>
      <c r="C8" s="30">
        <v>-380102.49</v>
      </c>
      <c r="D8" s="30">
        <v>13598304.51</v>
      </c>
      <c r="E8" s="30">
        <v>13298282.379999997</v>
      </c>
      <c r="F8" s="30">
        <v>13298282.379999997</v>
      </c>
      <c r="G8" s="30">
        <f t="shared" si="2"/>
        <v>300022.13000000268</v>
      </c>
    </row>
    <row r="9" spans="1:12" s="66" customFormat="1" x14ac:dyDescent="0.2">
      <c r="A9" s="37" t="s">
        <v>13</v>
      </c>
      <c r="B9" s="30">
        <v>5288069.29</v>
      </c>
      <c r="C9" s="30">
        <v>0</v>
      </c>
      <c r="D9" s="30">
        <v>5288069.29</v>
      </c>
      <c r="E9" s="30">
        <v>3817791.18</v>
      </c>
      <c r="F9" s="30">
        <v>3522427.67</v>
      </c>
      <c r="G9" s="30">
        <f t="shared" si="2"/>
        <v>1470278.1099999999</v>
      </c>
    </row>
    <row r="10" spans="1:12" s="66" customFormat="1" x14ac:dyDescent="0.2">
      <c r="A10" s="37" t="s">
        <v>14</v>
      </c>
      <c r="B10" s="30">
        <v>11304622</v>
      </c>
      <c r="C10" s="30">
        <v>1193294.79</v>
      </c>
      <c r="D10" s="30">
        <v>12497916.789999999</v>
      </c>
      <c r="E10" s="30">
        <v>12065593.469999999</v>
      </c>
      <c r="F10" s="30">
        <v>12065593.469999999</v>
      </c>
      <c r="G10" s="30">
        <f t="shared" si="2"/>
        <v>432323.3200000003</v>
      </c>
    </row>
    <row r="11" spans="1:12" s="66" customFormat="1" x14ac:dyDescent="0.2">
      <c r="A11" s="37" t="s">
        <v>15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f t="shared" si="2"/>
        <v>0</v>
      </c>
    </row>
    <row r="12" spans="1:12" s="66" customFormat="1" x14ac:dyDescent="0.2">
      <c r="A12" s="37" t="s">
        <v>16</v>
      </c>
      <c r="B12" s="30">
        <v>6571680</v>
      </c>
      <c r="C12" s="30">
        <v>0</v>
      </c>
      <c r="D12" s="30">
        <v>6571680</v>
      </c>
      <c r="E12" s="30">
        <v>6514877.7000000011</v>
      </c>
      <c r="F12" s="30">
        <v>6514877.7000000011</v>
      </c>
      <c r="G12" s="30">
        <f t="shared" si="2"/>
        <v>56802.299999998882</v>
      </c>
    </row>
    <row r="13" spans="1:12" s="66" customFormat="1" x14ac:dyDescent="0.2">
      <c r="A13" s="36" t="s">
        <v>17</v>
      </c>
      <c r="B13" s="35">
        <f>SUM(B14:B22)</f>
        <v>11160158.459999999</v>
      </c>
      <c r="C13" s="35">
        <f t="shared" ref="C13:F13" si="3">SUM(C14:C22)</f>
        <v>-303969.47000000026</v>
      </c>
      <c r="D13" s="35">
        <f>SUM(D14:D22)</f>
        <v>10856188.990000002</v>
      </c>
      <c r="E13" s="35">
        <f>SUM(E14:E22)</f>
        <v>9117510.7100000009</v>
      </c>
      <c r="F13" s="35">
        <f t="shared" si="3"/>
        <v>8935562.6699999999</v>
      </c>
      <c r="G13" s="35">
        <f>D13-E13</f>
        <v>1738678.2800000012</v>
      </c>
    </row>
    <row r="14" spans="1:12" s="66" customFormat="1" x14ac:dyDescent="0.2">
      <c r="A14" s="37" t="s">
        <v>18</v>
      </c>
      <c r="B14" s="30">
        <v>2785281</v>
      </c>
      <c r="C14" s="30">
        <v>-343473.64000000013</v>
      </c>
      <c r="D14" s="30">
        <v>2441807.3600000003</v>
      </c>
      <c r="E14" s="30">
        <v>1936718.3599999999</v>
      </c>
      <c r="F14" s="30">
        <v>1936338.3599999999</v>
      </c>
      <c r="G14" s="30">
        <f>D14-E14</f>
        <v>505089.00000000047</v>
      </c>
    </row>
    <row r="15" spans="1:12" s="66" customFormat="1" x14ac:dyDescent="0.2">
      <c r="A15" s="37" t="s">
        <v>19</v>
      </c>
      <c r="B15" s="30">
        <v>1179436.47</v>
      </c>
      <c r="C15" s="30">
        <v>-509864.11000000004</v>
      </c>
      <c r="D15" s="30">
        <v>669572.36</v>
      </c>
      <c r="E15" s="30">
        <v>500970.18</v>
      </c>
      <c r="F15" s="30">
        <v>494937.19000000006</v>
      </c>
      <c r="G15" s="30">
        <f t="shared" ref="G15:G22" si="4">D15-E15</f>
        <v>168602.18</v>
      </c>
    </row>
    <row r="16" spans="1:12" s="66" customFormat="1" x14ac:dyDescent="0.2">
      <c r="A16" s="37" t="s">
        <v>20</v>
      </c>
      <c r="B16" s="30">
        <v>900</v>
      </c>
      <c r="C16" s="30">
        <v>-900</v>
      </c>
      <c r="D16" s="30">
        <v>0</v>
      </c>
      <c r="E16" s="30">
        <v>0</v>
      </c>
      <c r="F16" s="30">
        <v>0</v>
      </c>
      <c r="G16" s="30">
        <f t="shared" si="4"/>
        <v>0</v>
      </c>
    </row>
    <row r="17" spans="1:7" s="66" customFormat="1" x14ac:dyDescent="0.2">
      <c r="A17" s="37" t="s">
        <v>21</v>
      </c>
      <c r="B17" s="30">
        <v>2171718</v>
      </c>
      <c r="C17" s="30">
        <f>555871.77+212630</f>
        <v>768501.77</v>
      </c>
      <c r="D17" s="30">
        <f>2727589.77+212630</f>
        <v>2940219.77</v>
      </c>
      <c r="E17" s="30">
        <f>2492595.12+91980.63</f>
        <v>2584575.75</v>
      </c>
      <c r="F17" s="30">
        <f>2377368.59+91980.63</f>
        <v>2469349.2199999997</v>
      </c>
      <c r="G17" s="30">
        <f t="shared" si="4"/>
        <v>355644.02</v>
      </c>
    </row>
    <row r="18" spans="1:7" s="66" customFormat="1" x14ac:dyDescent="0.2">
      <c r="A18" s="37" t="s">
        <v>22</v>
      </c>
      <c r="B18" s="30">
        <v>566974</v>
      </c>
      <c r="C18" s="30">
        <f>-110927.07+90049.7</f>
        <v>-20877.37000000001</v>
      </c>
      <c r="D18" s="30">
        <f>456046.93+90049.7</f>
        <v>546096.63</v>
      </c>
      <c r="E18" s="30">
        <v>390983.67000000004</v>
      </c>
      <c r="F18" s="30">
        <v>389837.67000000004</v>
      </c>
      <c r="G18" s="30">
        <f t="shared" si="4"/>
        <v>155112.95999999996</v>
      </c>
    </row>
    <row r="19" spans="1:7" s="66" customFormat="1" x14ac:dyDescent="0.2">
      <c r="A19" s="37" t="s">
        <v>23</v>
      </c>
      <c r="B19" s="30">
        <v>2276700</v>
      </c>
      <c r="C19" s="30">
        <v>-329999.90000000002</v>
      </c>
      <c r="D19" s="30">
        <v>1946700.1</v>
      </c>
      <c r="E19" s="30">
        <v>1914284.63</v>
      </c>
      <c r="F19" s="30">
        <v>1855476.1099999999</v>
      </c>
      <c r="G19" s="30">
        <f t="shared" si="4"/>
        <v>32415.470000000205</v>
      </c>
    </row>
    <row r="20" spans="1:7" s="66" customFormat="1" x14ac:dyDescent="0.2">
      <c r="A20" s="37" t="s">
        <v>24</v>
      </c>
      <c r="B20" s="30">
        <v>1401858</v>
      </c>
      <c r="C20" s="30">
        <f>-192134.53+1000</f>
        <v>-191134.53</v>
      </c>
      <c r="D20" s="30">
        <f>1209723.47+1000</f>
        <v>1210723.47</v>
      </c>
      <c r="E20" s="30">
        <v>806196.73</v>
      </c>
      <c r="F20" s="30">
        <v>805842.73</v>
      </c>
      <c r="G20" s="30">
        <f t="shared" si="4"/>
        <v>404526.74</v>
      </c>
    </row>
    <row r="21" spans="1:7" s="66" customFormat="1" x14ac:dyDescent="0.2">
      <c r="A21" s="37" t="s">
        <v>25</v>
      </c>
      <c r="B21" s="30">
        <v>10000</v>
      </c>
      <c r="C21" s="30">
        <v>-10000</v>
      </c>
      <c r="D21" s="30">
        <v>0</v>
      </c>
      <c r="E21" s="30">
        <v>0</v>
      </c>
      <c r="F21" s="30">
        <v>0</v>
      </c>
      <c r="G21" s="30">
        <f t="shared" si="4"/>
        <v>0</v>
      </c>
    </row>
    <row r="22" spans="1:7" s="66" customFormat="1" x14ac:dyDescent="0.2">
      <c r="A22" s="37" t="s">
        <v>26</v>
      </c>
      <c r="B22" s="30">
        <v>767290.99</v>
      </c>
      <c r="C22" s="30">
        <f>332778.31+1000</f>
        <v>333778.31</v>
      </c>
      <c r="D22" s="30">
        <f>1100069.3+1000</f>
        <v>1101069.3</v>
      </c>
      <c r="E22" s="30">
        <v>983781.39000000013</v>
      </c>
      <c r="F22" s="30">
        <v>983781.39000000013</v>
      </c>
      <c r="G22" s="30">
        <f t="shared" si="4"/>
        <v>117287.90999999992</v>
      </c>
    </row>
    <row r="23" spans="1:7" s="66" customFormat="1" x14ac:dyDescent="0.2">
      <c r="A23" s="36" t="s">
        <v>27</v>
      </c>
      <c r="B23" s="35">
        <f>SUM(B24:B32)</f>
        <v>35106881.540000007</v>
      </c>
      <c r="C23" s="35">
        <f t="shared" ref="C23:F23" si="5">SUM(C24:C32)</f>
        <v>-7951280.4899999984</v>
      </c>
      <c r="D23" s="35">
        <f t="shared" si="5"/>
        <v>27155601.050000001</v>
      </c>
      <c r="E23" s="35">
        <f t="shared" si="5"/>
        <v>23000359.080000002</v>
      </c>
      <c r="F23" s="35">
        <f t="shared" si="5"/>
        <v>21371679.32</v>
      </c>
      <c r="G23" s="35">
        <f t="shared" ref="G23:G70" si="6">D23-E23</f>
        <v>4155241.9699999988</v>
      </c>
    </row>
    <row r="24" spans="1:7" s="66" customFormat="1" x14ac:dyDescent="0.2">
      <c r="A24" s="37" t="s">
        <v>28</v>
      </c>
      <c r="B24" s="30">
        <v>24272910</v>
      </c>
      <c r="C24" s="30">
        <v>-14875955.069999998</v>
      </c>
      <c r="D24" s="30">
        <v>9396954.9299999997</v>
      </c>
      <c r="E24" s="30">
        <v>8961506.4600000009</v>
      </c>
      <c r="F24" s="30">
        <v>8910902.0899999999</v>
      </c>
      <c r="G24" s="30">
        <f>D24-E24</f>
        <v>435448.46999999881</v>
      </c>
    </row>
    <row r="25" spans="1:7" s="66" customFormat="1" x14ac:dyDescent="0.2">
      <c r="A25" s="37" t="s">
        <v>29</v>
      </c>
      <c r="B25" s="30">
        <v>488770</v>
      </c>
      <c r="C25" s="30">
        <v>-203683.76</v>
      </c>
      <c r="D25" s="30">
        <v>285086.24</v>
      </c>
      <c r="E25" s="30">
        <v>226002.92</v>
      </c>
      <c r="F25" s="30">
        <v>226002.92</v>
      </c>
      <c r="G25" s="30">
        <f t="shared" ref="G25:G32" si="7">D25-E25</f>
        <v>59083.319999999978</v>
      </c>
    </row>
    <row r="26" spans="1:7" s="66" customFormat="1" x14ac:dyDescent="0.2">
      <c r="A26" s="37" t="s">
        <v>30</v>
      </c>
      <c r="B26" s="30">
        <v>3131125</v>
      </c>
      <c r="C26" s="30">
        <v>-211040.63</v>
      </c>
      <c r="D26" s="30">
        <v>2920084.3700000006</v>
      </c>
      <c r="E26" s="30">
        <v>2499679.5200000005</v>
      </c>
      <c r="F26" s="30">
        <v>2495678.4200000009</v>
      </c>
      <c r="G26" s="30">
        <f t="shared" si="7"/>
        <v>420404.85000000009</v>
      </c>
    </row>
    <row r="27" spans="1:7" s="66" customFormat="1" x14ac:dyDescent="0.2">
      <c r="A27" s="37" t="s">
        <v>31</v>
      </c>
      <c r="B27" s="30">
        <f>341362+30000</f>
        <v>371362</v>
      </c>
      <c r="C27" s="30">
        <f>-216207.53+30000</f>
        <v>-186207.53</v>
      </c>
      <c r="D27" s="30">
        <f>125154.47+60000</f>
        <v>185154.47</v>
      </c>
      <c r="E27" s="30">
        <f>93939.68+27407.54</f>
        <v>121347.22</v>
      </c>
      <c r="F27" s="30">
        <f>93939.68+27407.54</f>
        <v>121347.22</v>
      </c>
      <c r="G27" s="30">
        <f t="shared" si="7"/>
        <v>63807.25</v>
      </c>
    </row>
    <row r="28" spans="1:7" s="66" customFormat="1" x14ac:dyDescent="0.2">
      <c r="A28" s="37" t="s">
        <v>32</v>
      </c>
      <c r="B28" s="30">
        <v>647407.01</v>
      </c>
      <c r="C28" s="30">
        <v>-232592.12000000002</v>
      </c>
      <c r="D28" s="30">
        <v>414814.89</v>
      </c>
      <c r="E28" s="30">
        <v>252554.43</v>
      </c>
      <c r="F28" s="30">
        <v>252554.43</v>
      </c>
      <c r="G28" s="30">
        <f t="shared" si="7"/>
        <v>162260.46000000002</v>
      </c>
    </row>
    <row r="29" spans="1:7" s="66" customFormat="1" x14ac:dyDescent="0.2">
      <c r="A29" s="37" t="s">
        <v>33</v>
      </c>
      <c r="B29" s="30">
        <v>1536274</v>
      </c>
      <c r="C29" s="30">
        <v>-7985.7299999999959</v>
      </c>
      <c r="D29" s="30">
        <v>1528288.27</v>
      </c>
      <c r="E29" s="30">
        <v>1477992.88</v>
      </c>
      <c r="F29" s="30">
        <v>1477992.88</v>
      </c>
      <c r="G29" s="30">
        <f t="shared" si="7"/>
        <v>50295.39000000013</v>
      </c>
    </row>
    <row r="30" spans="1:7" s="66" customFormat="1" x14ac:dyDescent="0.2">
      <c r="A30" s="37" t="s">
        <v>34</v>
      </c>
      <c r="B30" s="30">
        <v>220576.53</v>
      </c>
      <c r="C30" s="30">
        <v>44695.74</v>
      </c>
      <c r="D30" s="30">
        <v>265272.27</v>
      </c>
      <c r="E30" s="30">
        <v>159368.76999999999</v>
      </c>
      <c r="F30" s="30">
        <v>159368.76999999999</v>
      </c>
      <c r="G30" s="30">
        <f t="shared" si="7"/>
        <v>105903.50000000003</v>
      </c>
    </row>
    <row r="31" spans="1:7" s="66" customFormat="1" x14ac:dyDescent="0.2">
      <c r="A31" s="37" t="s">
        <v>35</v>
      </c>
      <c r="B31" s="30">
        <v>713269</v>
      </c>
      <c r="C31" s="30">
        <v>661557.6</v>
      </c>
      <c r="D31" s="30">
        <v>1374826.6</v>
      </c>
      <c r="E31" s="30">
        <v>1013254.86</v>
      </c>
      <c r="F31" s="30">
        <v>1005774.86</v>
      </c>
      <c r="G31" s="30">
        <f t="shared" si="7"/>
        <v>361571.74000000011</v>
      </c>
    </row>
    <row r="32" spans="1:7" s="66" customFormat="1" x14ac:dyDescent="0.2">
      <c r="A32" s="37" t="s">
        <v>36</v>
      </c>
      <c r="B32" s="30">
        <v>3725188</v>
      </c>
      <c r="C32" s="30">
        <v>7059931.0099999998</v>
      </c>
      <c r="D32" s="30">
        <v>10785119.01</v>
      </c>
      <c r="E32" s="30">
        <v>8288652.0199999996</v>
      </c>
      <c r="F32" s="30">
        <v>6722057.7299999995</v>
      </c>
      <c r="G32" s="30">
        <f t="shared" si="7"/>
        <v>2496466.9900000002</v>
      </c>
    </row>
    <row r="33" spans="1:7" s="66" customFormat="1" x14ac:dyDescent="0.2">
      <c r="A33" s="36" t="s">
        <v>37</v>
      </c>
      <c r="B33" s="35">
        <f>SUM(B34:B42)</f>
        <v>24267500.710000001</v>
      </c>
      <c r="C33" s="35">
        <f t="shared" ref="C33:F33" si="8">SUM(C34:C42)</f>
        <v>610227.17000000004</v>
      </c>
      <c r="D33" s="35">
        <f t="shared" si="8"/>
        <v>24877727.880000003</v>
      </c>
      <c r="E33" s="35">
        <f t="shared" si="8"/>
        <v>24175160.260000002</v>
      </c>
      <c r="F33" s="35">
        <f t="shared" si="8"/>
        <v>24090177.52</v>
      </c>
      <c r="G33" s="35">
        <f t="shared" si="6"/>
        <v>702567.62000000104</v>
      </c>
    </row>
    <row r="34" spans="1:7" s="66" customFormat="1" x14ac:dyDescent="0.2">
      <c r="A34" s="37" t="s">
        <v>38</v>
      </c>
      <c r="B34" s="30"/>
      <c r="C34" s="30"/>
      <c r="D34" s="30"/>
      <c r="E34" s="30"/>
      <c r="F34" s="30"/>
      <c r="G34" s="30">
        <f t="shared" si="6"/>
        <v>0</v>
      </c>
    </row>
    <row r="35" spans="1:7" s="66" customFormat="1" x14ac:dyDescent="0.2">
      <c r="A35" s="37" t="s">
        <v>39</v>
      </c>
      <c r="B35" s="28">
        <v>9970167.9600000009</v>
      </c>
      <c r="C35" s="28">
        <v>0</v>
      </c>
      <c r="D35" s="28">
        <v>9970167.9600000009</v>
      </c>
      <c r="E35" s="28">
        <v>9970167.9600000009</v>
      </c>
      <c r="F35" s="28">
        <v>9970167.9600000009</v>
      </c>
      <c r="G35" s="30">
        <f t="shared" si="6"/>
        <v>0</v>
      </c>
    </row>
    <row r="36" spans="1:7" s="66" customFormat="1" x14ac:dyDescent="0.2">
      <c r="A36" s="37" t="s">
        <v>40</v>
      </c>
      <c r="B36" s="28">
        <v>50000</v>
      </c>
      <c r="C36" s="28">
        <v>172587.46</v>
      </c>
      <c r="D36" s="28">
        <v>222587.46</v>
      </c>
      <c r="E36" s="28">
        <v>66231.91</v>
      </c>
      <c r="F36" s="28">
        <v>66231.91</v>
      </c>
      <c r="G36" s="30">
        <f t="shared" si="6"/>
        <v>156355.54999999999</v>
      </c>
    </row>
    <row r="37" spans="1:7" s="66" customFormat="1" x14ac:dyDescent="0.2">
      <c r="A37" s="37" t="s">
        <v>41</v>
      </c>
      <c r="B37" s="28">
        <v>10737154.75</v>
      </c>
      <c r="C37" s="28">
        <v>437639.71</v>
      </c>
      <c r="D37" s="28">
        <v>11174794.459999999</v>
      </c>
      <c r="E37" s="28">
        <v>10633180.449999999</v>
      </c>
      <c r="F37" s="28">
        <v>10548197.709999999</v>
      </c>
      <c r="G37" s="30">
        <f t="shared" si="6"/>
        <v>541614.00999999978</v>
      </c>
    </row>
    <row r="38" spans="1:7" s="66" customFormat="1" x14ac:dyDescent="0.2">
      <c r="A38" s="37" t="s">
        <v>42</v>
      </c>
      <c r="B38" s="28">
        <v>3510178</v>
      </c>
      <c r="C38" s="29">
        <v>0</v>
      </c>
      <c r="D38" s="28">
        <v>3510178</v>
      </c>
      <c r="E38" s="28">
        <v>3505579.94</v>
      </c>
      <c r="F38" s="28">
        <v>3505579.94</v>
      </c>
      <c r="G38" s="30">
        <f t="shared" si="6"/>
        <v>4598.0600000000559</v>
      </c>
    </row>
    <row r="39" spans="1:7" s="66" customFormat="1" x14ac:dyDescent="0.2">
      <c r="A39" s="37" t="s">
        <v>43</v>
      </c>
      <c r="B39" s="30"/>
      <c r="C39" s="30"/>
      <c r="D39" s="30"/>
      <c r="E39" s="30"/>
      <c r="F39" s="30"/>
      <c r="G39" s="30">
        <f t="shared" si="6"/>
        <v>0</v>
      </c>
    </row>
    <row r="40" spans="1:7" s="66" customFormat="1" x14ac:dyDescent="0.2">
      <c r="A40" s="37" t="s">
        <v>44</v>
      </c>
      <c r="B40" s="30"/>
      <c r="C40" s="30"/>
      <c r="D40" s="30"/>
      <c r="E40" s="30"/>
      <c r="F40" s="30"/>
      <c r="G40" s="30">
        <f t="shared" si="6"/>
        <v>0</v>
      </c>
    </row>
    <row r="41" spans="1:7" s="66" customFormat="1" x14ac:dyDescent="0.2">
      <c r="A41" s="37" t="s">
        <v>45</v>
      </c>
      <c r="B41" s="30"/>
      <c r="C41" s="30"/>
      <c r="D41" s="30"/>
      <c r="E41" s="30"/>
      <c r="F41" s="30"/>
      <c r="G41" s="30">
        <f t="shared" si="6"/>
        <v>0</v>
      </c>
    </row>
    <row r="42" spans="1:7" s="66" customFormat="1" x14ac:dyDescent="0.2">
      <c r="A42" s="37" t="s">
        <v>46</v>
      </c>
      <c r="B42" s="30"/>
      <c r="C42" s="30"/>
      <c r="D42" s="30"/>
      <c r="E42" s="30"/>
      <c r="F42" s="30"/>
      <c r="G42" s="30">
        <f t="shared" si="6"/>
        <v>0</v>
      </c>
    </row>
    <row r="43" spans="1:7" s="66" customFormat="1" x14ac:dyDescent="0.2">
      <c r="A43" s="36" t="s">
        <v>47</v>
      </c>
      <c r="B43" s="35">
        <f>SUM(B44:B52)</f>
        <v>1066966</v>
      </c>
      <c r="C43" s="35">
        <f t="shared" ref="C43:F43" si="9">SUM(C44:C52)</f>
        <v>4113735.89</v>
      </c>
      <c r="D43" s="35">
        <f t="shared" si="9"/>
        <v>5180701.8899999997</v>
      </c>
      <c r="E43" s="35">
        <f t="shared" si="9"/>
        <v>5043402.55</v>
      </c>
      <c r="F43" s="35">
        <f t="shared" si="9"/>
        <v>5036895.2299999995</v>
      </c>
      <c r="G43" s="35">
        <f t="shared" si="6"/>
        <v>137299.33999999985</v>
      </c>
    </row>
    <row r="44" spans="1:7" s="66" customFormat="1" x14ac:dyDescent="0.2">
      <c r="A44" s="37" t="s">
        <v>48</v>
      </c>
      <c r="B44" s="28">
        <v>867032</v>
      </c>
      <c r="C44" s="28">
        <v>-111851.14000000001</v>
      </c>
      <c r="D44" s="28">
        <v>755180.86</v>
      </c>
      <c r="E44" s="28">
        <v>635895.74</v>
      </c>
      <c r="F44" s="28">
        <v>629388.42000000004</v>
      </c>
      <c r="G44" s="30">
        <f t="shared" si="6"/>
        <v>119285.12</v>
      </c>
    </row>
    <row r="45" spans="1:7" s="66" customFormat="1" x14ac:dyDescent="0.2">
      <c r="A45" s="37" t="s">
        <v>49</v>
      </c>
      <c r="B45" s="28">
        <v>133449</v>
      </c>
      <c r="C45" s="28">
        <v>31564.029999999992</v>
      </c>
      <c r="D45" s="28">
        <v>165013.03000000003</v>
      </c>
      <c r="E45" s="28">
        <v>156344.04999999999</v>
      </c>
      <c r="F45" s="28">
        <v>156344.04999999999</v>
      </c>
      <c r="G45" s="30">
        <f t="shared" si="6"/>
        <v>8668.9800000000396</v>
      </c>
    </row>
    <row r="46" spans="1:7" s="66" customFormat="1" x14ac:dyDescent="0.2">
      <c r="A46" s="37" t="s">
        <v>50</v>
      </c>
      <c r="B46" s="29"/>
      <c r="C46" s="29"/>
      <c r="D46" s="29"/>
      <c r="E46" s="28"/>
      <c r="F46" s="29"/>
      <c r="G46" s="30">
        <f t="shared" si="6"/>
        <v>0</v>
      </c>
    </row>
    <row r="47" spans="1:7" s="66" customFormat="1" x14ac:dyDescent="0.2">
      <c r="A47" s="37" t="s">
        <v>51</v>
      </c>
      <c r="B47" s="28">
        <v>32000</v>
      </c>
      <c r="C47" s="28">
        <v>4123350</v>
      </c>
      <c r="D47" s="28">
        <v>4155350</v>
      </c>
      <c r="E47" s="28">
        <v>4155350</v>
      </c>
      <c r="F47" s="28">
        <v>4155350</v>
      </c>
      <c r="G47" s="30">
        <f t="shared" si="6"/>
        <v>0</v>
      </c>
    </row>
    <row r="48" spans="1:7" s="66" customFormat="1" x14ac:dyDescent="0.2">
      <c r="A48" s="37" t="s">
        <v>52</v>
      </c>
      <c r="B48" s="29"/>
      <c r="C48" s="29"/>
      <c r="D48" s="29"/>
      <c r="E48" s="28"/>
      <c r="F48" s="28"/>
      <c r="G48" s="30">
        <f t="shared" si="6"/>
        <v>0</v>
      </c>
    </row>
    <row r="49" spans="1:7" s="66" customFormat="1" x14ac:dyDescent="0.2">
      <c r="A49" s="37" t="s">
        <v>53</v>
      </c>
      <c r="B49" s="28">
        <v>31485</v>
      </c>
      <c r="C49" s="28">
        <v>70673</v>
      </c>
      <c r="D49" s="28">
        <v>102158</v>
      </c>
      <c r="E49" s="28">
        <v>95812.76</v>
      </c>
      <c r="F49" s="28">
        <v>95812.76</v>
      </c>
      <c r="G49" s="30">
        <f t="shared" si="6"/>
        <v>6345.2400000000052</v>
      </c>
    </row>
    <row r="50" spans="1:7" s="66" customFormat="1" x14ac:dyDescent="0.2">
      <c r="A50" s="37" t="s">
        <v>54</v>
      </c>
      <c r="B50" s="29"/>
      <c r="C50" s="29"/>
      <c r="D50" s="29"/>
      <c r="E50" s="28"/>
      <c r="F50" s="29"/>
      <c r="G50" s="30">
        <f t="shared" si="6"/>
        <v>0</v>
      </c>
    </row>
    <row r="51" spans="1:7" s="66" customFormat="1" x14ac:dyDescent="0.2">
      <c r="A51" s="37" t="s">
        <v>55</v>
      </c>
      <c r="B51" s="29"/>
      <c r="C51" s="29"/>
      <c r="D51" s="29"/>
      <c r="E51" s="28"/>
      <c r="F51" s="29"/>
      <c r="G51" s="30">
        <f t="shared" si="6"/>
        <v>0</v>
      </c>
    </row>
    <row r="52" spans="1:7" s="66" customFormat="1" x14ac:dyDescent="0.2">
      <c r="A52" s="37" t="s">
        <v>56</v>
      </c>
      <c r="B52" s="28">
        <v>3000</v>
      </c>
      <c r="C52" s="28">
        <v>0</v>
      </c>
      <c r="D52" s="28">
        <v>3000</v>
      </c>
      <c r="E52" s="28">
        <v>0</v>
      </c>
      <c r="F52" s="29">
        <v>0</v>
      </c>
      <c r="G52" s="30">
        <f t="shared" si="6"/>
        <v>3000</v>
      </c>
    </row>
    <row r="53" spans="1:7" s="66" customFormat="1" x14ac:dyDescent="0.2">
      <c r="A53" s="36" t="s">
        <v>57</v>
      </c>
      <c r="B53" s="35">
        <f>SUM(B54:B56)</f>
        <v>9643530.9399999995</v>
      </c>
      <c r="C53" s="35">
        <f t="shared" ref="C53:F53" si="10">SUM(C54:C56)</f>
        <v>8262127.8999999994</v>
      </c>
      <c r="D53" s="35">
        <f t="shared" si="10"/>
        <v>17905658.84</v>
      </c>
      <c r="E53" s="35">
        <f t="shared" si="10"/>
        <v>13257044.52</v>
      </c>
      <c r="F53" s="35">
        <f t="shared" si="10"/>
        <v>13257044.52</v>
      </c>
      <c r="G53" s="35">
        <f t="shared" si="6"/>
        <v>4648614.32</v>
      </c>
    </row>
    <row r="54" spans="1:7" s="66" customFormat="1" x14ac:dyDescent="0.2">
      <c r="A54" s="37" t="s">
        <v>58</v>
      </c>
      <c r="B54" s="28">
        <f>8496000+281265.9+183700.85+682564.19</f>
        <v>9643530.9399999995</v>
      </c>
      <c r="C54" s="28">
        <f>5459437.97+3656831.38+104625-281265.9-183700.85-493799.7</f>
        <v>8262127.8999999994</v>
      </c>
      <c r="D54" s="28">
        <f>13955437.97+3656831.38+104625+188764.49</f>
        <v>17905658.84</v>
      </c>
      <c r="E54" s="28">
        <f>12150216.23+919224.69+187603.6</f>
        <v>13257044.52</v>
      </c>
      <c r="F54" s="28">
        <f>12150216.23+919224.69+187603.6</f>
        <v>13257044.52</v>
      </c>
      <c r="G54" s="30">
        <f t="shared" si="6"/>
        <v>4648614.32</v>
      </c>
    </row>
    <row r="55" spans="1:7" s="66" customFormat="1" x14ac:dyDescent="0.2">
      <c r="A55" s="37" t="s">
        <v>59</v>
      </c>
      <c r="B55" s="30"/>
      <c r="C55" s="30"/>
      <c r="D55" s="30"/>
      <c r="E55" s="30"/>
      <c r="F55" s="30"/>
      <c r="G55" s="30">
        <f t="shared" si="6"/>
        <v>0</v>
      </c>
    </row>
    <row r="56" spans="1:7" s="66" customFormat="1" x14ac:dyDescent="0.2">
      <c r="A56" s="37" t="s">
        <v>60</v>
      </c>
      <c r="B56" s="30"/>
      <c r="C56" s="30"/>
      <c r="D56" s="30"/>
      <c r="E56" s="30"/>
      <c r="F56" s="30"/>
      <c r="G56" s="30">
        <f t="shared" si="6"/>
        <v>0</v>
      </c>
    </row>
    <row r="57" spans="1:7" s="66" customFormat="1" x14ac:dyDescent="0.2">
      <c r="A57" s="36" t="s">
        <v>61</v>
      </c>
      <c r="B57" s="35">
        <f>SUM(B58:B65)</f>
        <v>0</v>
      </c>
      <c r="C57" s="35">
        <f t="shared" ref="C57:F57" si="11">SUM(C58:C65)</f>
        <v>0</v>
      </c>
      <c r="D57" s="35">
        <f t="shared" si="11"/>
        <v>0</v>
      </c>
      <c r="E57" s="35">
        <f t="shared" si="11"/>
        <v>0</v>
      </c>
      <c r="F57" s="35">
        <f t="shared" si="11"/>
        <v>0</v>
      </c>
      <c r="G57" s="35">
        <f t="shared" si="6"/>
        <v>0</v>
      </c>
    </row>
    <row r="58" spans="1:7" s="66" customFormat="1" x14ac:dyDescent="0.2">
      <c r="A58" s="37" t="s">
        <v>62</v>
      </c>
      <c r="B58" s="30"/>
      <c r="C58" s="30"/>
      <c r="D58" s="30"/>
      <c r="E58" s="30"/>
      <c r="F58" s="30"/>
      <c r="G58" s="30">
        <f t="shared" si="6"/>
        <v>0</v>
      </c>
    </row>
    <row r="59" spans="1:7" s="66" customFormat="1" x14ac:dyDescent="0.2">
      <c r="A59" s="37" t="s">
        <v>63</v>
      </c>
      <c r="B59" s="30"/>
      <c r="C59" s="30"/>
      <c r="D59" s="30"/>
      <c r="E59" s="30"/>
      <c r="F59" s="30"/>
      <c r="G59" s="30">
        <f t="shared" si="6"/>
        <v>0</v>
      </c>
    </row>
    <row r="60" spans="1:7" s="66" customFormat="1" x14ac:dyDescent="0.2">
      <c r="A60" s="37" t="s">
        <v>64</v>
      </c>
      <c r="B60" s="30"/>
      <c r="C60" s="30"/>
      <c r="D60" s="30"/>
      <c r="E60" s="30"/>
      <c r="F60" s="30"/>
      <c r="G60" s="30">
        <f t="shared" si="6"/>
        <v>0</v>
      </c>
    </row>
    <row r="61" spans="1:7" s="66" customFormat="1" x14ac:dyDescent="0.2">
      <c r="A61" s="37" t="s">
        <v>65</v>
      </c>
      <c r="B61" s="30"/>
      <c r="C61" s="30"/>
      <c r="D61" s="30"/>
      <c r="E61" s="30"/>
      <c r="F61" s="30"/>
      <c r="G61" s="30">
        <f t="shared" si="6"/>
        <v>0</v>
      </c>
    </row>
    <row r="62" spans="1:7" s="66" customFormat="1" x14ac:dyDescent="0.2">
      <c r="A62" s="37" t="s">
        <v>66</v>
      </c>
      <c r="B62" s="30"/>
      <c r="C62" s="30"/>
      <c r="D62" s="30"/>
      <c r="E62" s="30"/>
      <c r="F62" s="30"/>
      <c r="G62" s="30">
        <f t="shared" si="6"/>
        <v>0</v>
      </c>
    </row>
    <row r="63" spans="1:7" s="66" customFormat="1" x14ac:dyDescent="0.2">
      <c r="A63" s="37" t="s">
        <v>67</v>
      </c>
      <c r="B63" s="30"/>
      <c r="C63" s="30"/>
      <c r="D63" s="30"/>
      <c r="E63" s="30"/>
      <c r="F63" s="30"/>
      <c r="G63" s="30">
        <f t="shared" si="6"/>
        <v>0</v>
      </c>
    </row>
    <row r="64" spans="1:7" s="66" customFormat="1" x14ac:dyDescent="0.2">
      <c r="A64" s="37" t="s">
        <v>68</v>
      </c>
      <c r="B64" s="30"/>
      <c r="C64" s="30"/>
      <c r="D64" s="30"/>
      <c r="E64" s="30"/>
      <c r="F64" s="30"/>
      <c r="G64" s="30">
        <f t="shared" si="6"/>
        <v>0</v>
      </c>
    </row>
    <row r="65" spans="1:7" s="66" customFormat="1" x14ac:dyDescent="0.2">
      <c r="A65" s="37" t="s">
        <v>69</v>
      </c>
      <c r="B65" s="30"/>
      <c r="C65" s="30"/>
      <c r="D65" s="30"/>
      <c r="E65" s="30"/>
      <c r="F65" s="30"/>
      <c r="G65" s="30">
        <f t="shared" si="6"/>
        <v>0</v>
      </c>
    </row>
    <row r="66" spans="1:7" s="66" customFormat="1" x14ac:dyDescent="0.2">
      <c r="A66" s="36" t="s">
        <v>70</v>
      </c>
      <c r="B66" s="35">
        <f>SUM(B67:B69)</f>
        <v>0</v>
      </c>
      <c r="C66" s="35">
        <f t="shared" ref="C66:F66" si="12">SUM(C67:C69)</f>
        <v>0</v>
      </c>
      <c r="D66" s="35">
        <f t="shared" si="12"/>
        <v>0</v>
      </c>
      <c r="E66" s="35">
        <f t="shared" si="12"/>
        <v>0</v>
      </c>
      <c r="F66" s="35">
        <f t="shared" si="12"/>
        <v>0</v>
      </c>
      <c r="G66" s="35">
        <f t="shared" si="6"/>
        <v>0</v>
      </c>
    </row>
    <row r="67" spans="1:7" s="66" customFormat="1" x14ac:dyDescent="0.2">
      <c r="A67" s="37">
        <v>8</v>
      </c>
      <c r="B67" s="30"/>
      <c r="C67" s="30"/>
      <c r="D67" s="30"/>
      <c r="E67" s="30"/>
      <c r="F67" s="30"/>
      <c r="G67" s="30">
        <f t="shared" si="6"/>
        <v>0</v>
      </c>
    </row>
    <row r="68" spans="1:7" s="66" customFormat="1" x14ac:dyDescent="0.2">
      <c r="A68" s="37" t="s">
        <v>72</v>
      </c>
      <c r="B68" s="30"/>
      <c r="C68" s="30"/>
      <c r="D68" s="30"/>
      <c r="E68" s="30"/>
      <c r="F68" s="30"/>
      <c r="G68" s="30">
        <f t="shared" si="6"/>
        <v>0</v>
      </c>
    </row>
    <row r="69" spans="1:7" s="66" customFormat="1" x14ac:dyDescent="0.2">
      <c r="A69" s="37" t="s">
        <v>73</v>
      </c>
      <c r="B69" s="30"/>
      <c r="C69" s="30"/>
      <c r="D69" s="30"/>
      <c r="E69" s="30"/>
      <c r="F69" s="30"/>
      <c r="G69" s="30">
        <f t="shared" si="6"/>
        <v>0</v>
      </c>
    </row>
    <row r="70" spans="1:7" s="66" customFormat="1" x14ac:dyDescent="0.2">
      <c r="A70" s="36" t="s">
        <v>74</v>
      </c>
      <c r="B70" s="35">
        <f>SUM(B71:B77)</f>
        <v>0</v>
      </c>
      <c r="C70" s="35">
        <f t="shared" ref="C70:F70" si="13">SUM(C71:C77)</f>
        <v>0</v>
      </c>
      <c r="D70" s="35">
        <f t="shared" si="13"/>
        <v>0</v>
      </c>
      <c r="E70" s="35">
        <f t="shared" si="13"/>
        <v>0</v>
      </c>
      <c r="F70" s="35">
        <f t="shared" si="13"/>
        <v>0</v>
      </c>
      <c r="G70" s="35">
        <f t="shared" si="6"/>
        <v>0</v>
      </c>
    </row>
    <row r="71" spans="1:7" s="66" customFormat="1" x14ac:dyDescent="0.2">
      <c r="A71" s="37" t="s">
        <v>75</v>
      </c>
      <c r="B71" s="30"/>
      <c r="C71" s="30"/>
      <c r="D71" s="30"/>
      <c r="E71" s="30"/>
      <c r="F71" s="30"/>
      <c r="G71" s="30">
        <f t="shared" ref="G71:G77" si="14">D71-E71</f>
        <v>0</v>
      </c>
    </row>
    <row r="72" spans="1:7" s="66" customFormat="1" x14ac:dyDescent="0.2">
      <c r="A72" s="37" t="s">
        <v>76</v>
      </c>
      <c r="B72" s="30"/>
      <c r="C72" s="30"/>
      <c r="D72" s="30"/>
      <c r="E72" s="30"/>
      <c r="F72" s="30"/>
      <c r="G72" s="30">
        <f t="shared" si="14"/>
        <v>0</v>
      </c>
    </row>
    <row r="73" spans="1:7" s="66" customFormat="1" x14ac:dyDescent="0.2">
      <c r="A73" s="37" t="s">
        <v>77</v>
      </c>
      <c r="B73" s="30"/>
      <c r="C73" s="30"/>
      <c r="D73" s="30"/>
      <c r="E73" s="30"/>
      <c r="F73" s="30"/>
      <c r="G73" s="30">
        <f t="shared" si="14"/>
        <v>0</v>
      </c>
    </row>
    <row r="74" spans="1:7" s="66" customFormat="1" x14ac:dyDescent="0.2">
      <c r="A74" s="37" t="s">
        <v>78</v>
      </c>
      <c r="B74" s="30"/>
      <c r="C74" s="30"/>
      <c r="D74" s="30"/>
      <c r="E74" s="30"/>
      <c r="F74" s="30"/>
      <c r="G74" s="30">
        <f t="shared" si="14"/>
        <v>0</v>
      </c>
    </row>
    <row r="75" spans="1:7" s="66" customFormat="1" x14ac:dyDescent="0.2">
      <c r="A75" s="37" t="s">
        <v>79</v>
      </c>
      <c r="B75" s="30"/>
      <c r="C75" s="30"/>
      <c r="D75" s="30"/>
      <c r="E75" s="30"/>
      <c r="F75" s="30"/>
      <c r="G75" s="30">
        <f t="shared" si="14"/>
        <v>0</v>
      </c>
    </row>
    <row r="76" spans="1:7" s="66" customFormat="1" x14ac:dyDescent="0.2">
      <c r="A76" s="37" t="s">
        <v>80</v>
      </c>
      <c r="B76" s="30"/>
      <c r="C76" s="30"/>
      <c r="D76" s="30"/>
      <c r="E76" s="30"/>
      <c r="F76" s="30"/>
      <c r="G76" s="30">
        <f t="shared" si="14"/>
        <v>0</v>
      </c>
    </row>
    <row r="77" spans="1:7" s="66" customFormat="1" x14ac:dyDescent="0.2">
      <c r="A77" s="37" t="s">
        <v>81</v>
      </c>
      <c r="B77" s="30"/>
      <c r="C77" s="30"/>
      <c r="D77" s="30"/>
      <c r="E77" s="30"/>
      <c r="F77" s="30"/>
      <c r="G77" s="30">
        <f t="shared" si="14"/>
        <v>0</v>
      </c>
    </row>
    <row r="78" spans="1:7" s="66" customFormat="1" ht="5.0999999999999996" customHeight="1" x14ac:dyDescent="0.2">
      <c r="A78" s="34"/>
      <c r="B78" s="35"/>
      <c r="C78" s="35"/>
      <c r="D78" s="35"/>
      <c r="E78" s="35"/>
      <c r="F78" s="35"/>
      <c r="G78" s="35"/>
    </row>
    <row r="79" spans="1:7" s="66" customFormat="1" x14ac:dyDescent="0.2">
      <c r="A79" s="34" t="s">
        <v>82</v>
      </c>
      <c r="B79" s="35">
        <f>B80+B88+B98+B108+B118+B128+B132+B141+B145</f>
        <v>211022074.70999998</v>
      </c>
      <c r="C79" s="35">
        <f t="shared" ref="C79:G79" si="15">C80+C88+C98+C108+C118+C128+C132+C141+C145</f>
        <v>67315604.140000001</v>
      </c>
      <c r="D79" s="35">
        <f t="shared" si="15"/>
        <v>278337678.85000002</v>
      </c>
      <c r="E79" s="35">
        <f t="shared" si="15"/>
        <v>181555665.72</v>
      </c>
      <c r="F79" s="35">
        <f t="shared" si="15"/>
        <v>169055573.24000004</v>
      </c>
      <c r="G79" s="35">
        <f t="shared" si="15"/>
        <v>96782013.130000025</v>
      </c>
    </row>
    <row r="80" spans="1:7" s="66" customFormat="1" x14ac:dyDescent="0.2">
      <c r="A80" s="36" t="s">
        <v>9</v>
      </c>
      <c r="B80" s="35">
        <f>SUM(B81:B87)</f>
        <v>45723434.400000006</v>
      </c>
      <c r="C80" s="35">
        <f t="shared" ref="C80:G80" si="16">SUM(C81:C87)</f>
        <v>2222009.0299999998</v>
      </c>
      <c r="D80" s="35">
        <f t="shared" si="16"/>
        <v>47945443.430000007</v>
      </c>
      <c r="E80" s="35">
        <f t="shared" si="16"/>
        <v>43621153.099999994</v>
      </c>
      <c r="F80" s="35">
        <f t="shared" si="16"/>
        <v>43231190.349999994</v>
      </c>
      <c r="G80" s="35">
        <f t="shared" si="16"/>
        <v>4324290.3300000159</v>
      </c>
    </row>
    <row r="81" spans="1:7" s="66" customFormat="1" x14ac:dyDescent="0.2">
      <c r="A81" s="37" t="s">
        <v>10</v>
      </c>
      <c r="B81" s="49">
        <v>29669058.400000006</v>
      </c>
      <c r="C81" s="56">
        <v>0</v>
      </c>
      <c r="D81" s="73">
        <v>29669058.400000006</v>
      </c>
      <c r="E81" s="56">
        <v>27184999.379999988</v>
      </c>
      <c r="F81" s="56">
        <v>27184999.379999988</v>
      </c>
      <c r="G81" s="30">
        <f t="shared" ref="G81:G144" si="17">D81-E81</f>
        <v>2484059.0200000182</v>
      </c>
    </row>
    <row r="82" spans="1:7" s="66" customFormat="1" x14ac:dyDescent="0.2">
      <c r="A82" s="37" t="s">
        <v>11</v>
      </c>
      <c r="B82" s="49">
        <v>0</v>
      </c>
      <c r="C82" s="56">
        <f>2101129.03-189120</f>
        <v>1912009.0299999998</v>
      </c>
      <c r="D82" s="51">
        <f>2101129.03-189120</f>
        <v>1912009.0299999998</v>
      </c>
      <c r="E82" s="56">
        <f>1831270-164900</f>
        <v>1666370</v>
      </c>
      <c r="F82" s="56">
        <f>1831270-164900</f>
        <v>1666370</v>
      </c>
      <c r="G82" s="30">
        <f t="shared" si="17"/>
        <v>245639.0299999998</v>
      </c>
    </row>
    <row r="83" spans="1:7" s="66" customFormat="1" x14ac:dyDescent="0.2">
      <c r="A83" s="37" t="s">
        <v>12</v>
      </c>
      <c r="B83" s="49">
        <v>5390904</v>
      </c>
      <c r="C83" s="56">
        <v>0</v>
      </c>
      <c r="D83" s="73">
        <v>5390904.0000000019</v>
      </c>
      <c r="E83" s="56">
        <v>4729537.7400000039</v>
      </c>
      <c r="F83" s="56">
        <v>4723182.3000000026</v>
      </c>
      <c r="G83" s="30">
        <f t="shared" si="17"/>
        <v>661366.25999999791</v>
      </c>
    </row>
    <row r="84" spans="1:7" s="66" customFormat="1" x14ac:dyDescent="0.2">
      <c r="A84" s="37" t="s">
        <v>13</v>
      </c>
      <c r="B84" s="49">
        <v>4055999.9999999991</v>
      </c>
      <c r="C84" s="56">
        <v>0</v>
      </c>
      <c r="D84" s="73">
        <v>4055999.9999999991</v>
      </c>
      <c r="E84" s="56">
        <v>3652066.27</v>
      </c>
      <c r="F84" s="56">
        <v>3268458.96</v>
      </c>
      <c r="G84" s="30">
        <f t="shared" si="17"/>
        <v>403933.72999999905</v>
      </c>
    </row>
    <row r="85" spans="1:7" s="66" customFormat="1" x14ac:dyDescent="0.2">
      <c r="A85" s="37" t="s">
        <v>14</v>
      </c>
      <c r="B85" s="49">
        <v>6564960</v>
      </c>
      <c r="C85" s="56">
        <v>310000</v>
      </c>
      <c r="D85" s="73">
        <v>6874960</v>
      </c>
      <c r="E85" s="56">
        <v>6346934.9100000001</v>
      </c>
      <c r="F85" s="56">
        <v>6346934.9100000001</v>
      </c>
      <c r="G85" s="30">
        <f t="shared" si="17"/>
        <v>528025.08999999985</v>
      </c>
    </row>
    <row r="86" spans="1:7" s="66" customFormat="1" x14ac:dyDescent="0.2">
      <c r="A86" s="37" t="s">
        <v>15</v>
      </c>
      <c r="B86" s="49">
        <v>0</v>
      </c>
      <c r="C86" s="56">
        <v>0</v>
      </c>
      <c r="D86" s="73">
        <v>0</v>
      </c>
      <c r="E86" s="56">
        <v>0</v>
      </c>
      <c r="F86" s="56">
        <v>0</v>
      </c>
      <c r="G86" s="30">
        <f t="shared" si="17"/>
        <v>0</v>
      </c>
    </row>
    <row r="87" spans="1:7" s="66" customFormat="1" x14ac:dyDescent="0.2">
      <c r="A87" s="37" t="s">
        <v>16</v>
      </c>
      <c r="B87" s="66">
        <v>42512</v>
      </c>
      <c r="C87" s="69">
        <v>0</v>
      </c>
      <c r="D87" s="70">
        <v>42512</v>
      </c>
      <c r="E87" s="69">
        <v>41244.799999998882</v>
      </c>
      <c r="F87" s="69">
        <v>41244.799999998882</v>
      </c>
      <c r="G87" s="30">
        <f t="shared" si="17"/>
        <v>1267.2000000011176</v>
      </c>
    </row>
    <row r="88" spans="1:7" s="66" customFormat="1" x14ac:dyDescent="0.2">
      <c r="A88" s="36" t="s">
        <v>17</v>
      </c>
      <c r="B88" s="35">
        <f>SUM(B89:B97)</f>
        <v>11818901.35</v>
      </c>
      <c r="C88" s="35">
        <f t="shared" ref="C88:F88" si="18">SUM(C89:C97)</f>
        <v>6010497.7199999997</v>
      </c>
      <c r="D88" s="35">
        <f t="shared" si="18"/>
        <v>17829399.07</v>
      </c>
      <c r="E88" s="35">
        <f t="shared" si="18"/>
        <v>16929043.609999999</v>
      </c>
      <c r="F88" s="35">
        <f t="shared" si="18"/>
        <v>16484195.070000002</v>
      </c>
      <c r="G88" s="35">
        <f t="shared" si="17"/>
        <v>900355.46000000089</v>
      </c>
    </row>
    <row r="89" spans="1:7" s="66" customFormat="1" x14ac:dyDescent="0.2">
      <c r="A89" s="37" t="s">
        <v>18</v>
      </c>
      <c r="B89" s="30">
        <v>30800</v>
      </c>
      <c r="C89" s="30">
        <v>438845.10000000015</v>
      </c>
      <c r="D89" s="30">
        <v>469645.09999999963</v>
      </c>
      <c r="E89" s="30">
        <v>464474.06000000006</v>
      </c>
      <c r="F89" s="30">
        <v>373379.26000000024</v>
      </c>
      <c r="G89" s="30">
        <f t="shared" si="17"/>
        <v>5171.0399999995716</v>
      </c>
    </row>
    <row r="90" spans="1:7" s="66" customFormat="1" x14ac:dyDescent="0.2">
      <c r="A90" s="37" t="s">
        <v>19</v>
      </c>
      <c r="B90" s="30">
        <v>24000</v>
      </c>
      <c r="C90" s="30">
        <v>-22631.999999999942</v>
      </c>
      <c r="D90" s="30">
        <v>1368</v>
      </c>
      <c r="E90" s="30">
        <v>899.54999999998836</v>
      </c>
      <c r="F90" s="30">
        <v>899.54999999993015</v>
      </c>
      <c r="G90" s="30">
        <f t="shared" si="17"/>
        <v>468.45000000001164</v>
      </c>
    </row>
    <row r="91" spans="1:7" s="66" customFormat="1" x14ac:dyDescent="0.2">
      <c r="A91" s="37" t="s">
        <v>20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f t="shared" si="17"/>
        <v>0</v>
      </c>
    </row>
    <row r="92" spans="1:7" s="66" customFormat="1" x14ac:dyDescent="0.2">
      <c r="A92" s="37" t="s">
        <v>21</v>
      </c>
      <c r="B92" s="30">
        <v>2146835</v>
      </c>
      <c r="C92" s="30">
        <f>1987775.79-212630</f>
        <v>1775145.79</v>
      </c>
      <c r="D92" s="30">
        <f>4134610.79-212630</f>
        <v>3921980.79</v>
      </c>
      <c r="E92" s="30">
        <f>3512480.07-91980.63</f>
        <v>3420499.44</v>
      </c>
      <c r="F92" s="30">
        <f>3501853.02-91980.63</f>
        <v>3409872.39</v>
      </c>
      <c r="G92" s="30">
        <f t="shared" si="17"/>
        <v>501481.35000000009</v>
      </c>
    </row>
    <row r="93" spans="1:7" s="66" customFormat="1" x14ac:dyDescent="0.2">
      <c r="A93" s="37" t="s">
        <v>22</v>
      </c>
      <c r="B93" s="30">
        <v>83000</v>
      </c>
      <c r="C93" s="30">
        <f>161300.89-90049.7</f>
        <v>71251.190000000017</v>
      </c>
      <c r="D93" s="30">
        <f>244300.89-90049.7</f>
        <v>154251.19</v>
      </c>
      <c r="E93" s="30">
        <v>94252.569999999949</v>
      </c>
      <c r="F93" s="30">
        <v>94252.569999999949</v>
      </c>
      <c r="G93" s="30">
        <f t="shared" si="17"/>
        <v>59998.620000000054</v>
      </c>
    </row>
    <row r="94" spans="1:7" s="66" customFormat="1" x14ac:dyDescent="0.2">
      <c r="A94" s="37" t="s">
        <v>23</v>
      </c>
      <c r="B94" s="30">
        <v>7689266.3499999996</v>
      </c>
      <c r="C94" s="30">
        <v>-63308.429999999993</v>
      </c>
      <c r="D94" s="30">
        <v>7625957.9199999999</v>
      </c>
      <c r="E94" s="30">
        <v>7616372.6100000003</v>
      </c>
      <c r="F94" s="30">
        <v>7602071.5200000014</v>
      </c>
      <c r="G94" s="30">
        <f t="shared" si="17"/>
        <v>9585.3099999995902</v>
      </c>
    </row>
    <row r="95" spans="1:7" s="66" customFormat="1" x14ac:dyDescent="0.2">
      <c r="A95" s="37" t="s">
        <v>24</v>
      </c>
      <c r="B95" s="30">
        <v>25000</v>
      </c>
      <c r="C95" s="30">
        <f>2464377.1-1000</f>
        <v>2463377.1</v>
      </c>
      <c r="D95" s="30">
        <f>2489377.1-1000</f>
        <v>2488377.1</v>
      </c>
      <c r="E95" s="30">
        <v>2252392.64</v>
      </c>
      <c r="F95" s="30">
        <v>2157435.04</v>
      </c>
      <c r="G95" s="30">
        <f t="shared" si="17"/>
        <v>235984.45999999996</v>
      </c>
    </row>
    <row r="96" spans="1:7" s="66" customFormat="1" x14ac:dyDescent="0.2">
      <c r="A96" s="37" t="s">
        <v>25</v>
      </c>
      <c r="B96" s="30">
        <v>10000</v>
      </c>
      <c r="C96" s="30">
        <v>532040</v>
      </c>
      <c r="D96" s="30">
        <v>542040</v>
      </c>
      <c r="E96" s="30">
        <v>488266.67</v>
      </c>
      <c r="F96" s="30">
        <v>441054.67</v>
      </c>
      <c r="G96" s="30">
        <f t="shared" si="17"/>
        <v>53773.330000000016</v>
      </c>
    </row>
    <row r="97" spans="1:7" s="66" customFormat="1" x14ac:dyDescent="0.2">
      <c r="A97" s="37" t="s">
        <v>26</v>
      </c>
      <c r="B97" s="30">
        <v>1810000.0000000002</v>
      </c>
      <c r="C97" s="30">
        <f>816778.97-1000</f>
        <v>815778.97</v>
      </c>
      <c r="D97" s="30">
        <f>2626778.97-1000</f>
        <v>2625778.9700000002</v>
      </c>
      <c r="E97" s="30">
        <v>2591886.0699999998</v>
      </c>
      <c r="F97" s="30">
        <v>2405230.0699999998</v>
      </c>
      <c r="G97" s="30">
        <f t="shared" si="17"/>
        <v>33892.900000000373</v>
      </c>
    </row>
    <row r="98" spans="1:7" s="66" customFormat="1" x14ac:dyDescent="0.2">
      <c r="A98" s="36" t="s">
        <v>27</v>
      </c>
      <c r="B98" s="35">
        <f>SUM(B99:B107)</f>
        <v>17619882.719999999</v>
      </c>
      <c r="C98" s="35">
        <f t="shared" ref="C98:F98" si="19">SUM(C99:C107)</f>
        <v>5077004.0599999987</v>
      </c>
      <c r="D98" s="35">
        <f t="shared" si="19"/>
        <v>22696886.780000001</v>
      </c>
      <c r="E98" s="35">
        <f t="shared" si="19"/>
        <v>21005119.530000001</v>
      </c>
      <c r="F98" s="35">
        <f t="shared" si="19"/>
        <v>19829278.929999996</v>
      </c>
      <c r="G98" s="35">
        <f t="shared" si="17"/>
        <v>1691767.25</v>
      </c>
    </row>
    <row r="99" spans="1:7" s="66" customFormat="1" x14ac:dyDescent="0.2">
      <c r="A99" s="37" t="s">
        <v>28</v>
      </c>
      <c r="B99" s="30">
        <v>0</v>
      </c>
      <c r="C99" s="30">
        <v>916899.99999999814</v>
      </c>
      <c r="D99" s="30">
        <v>916900</v>
      </c>
      <c r="E99" s="30">
        <v>714590.19999999925</v>
      </c>
      <c r="F99" s="30">
        <v>500</v>
      </c>
      <c r="G99" s="30">
        <f t="shared" si="17"/>
        <v>202309.80000000075</v>
      </c>
    </row>
    <row r="100" spans="1:7" s="66" customFormat="1" x14ac:dyDescent="0.2">
      <c r="A100" s="37" t="s">
        <v>29</v>
      </c>
      <c r="B100" s="30">
        <v>0</v>
      </c>
      <c r="C100" s="30">
        <v>0</v>
      </c>
      <c r="D100" s="30">
        <v>0</v>
      </c>
      <c r="E100" s="30">
        <v>0</v>
      </c>
      <c r="F100" s="30">
        <v>0</v>
      </c>
      <c r="G100" s="30">
        <f t="shared" si="17"/>
        <v>0</v>
      </c>
    </row>
    <row r="101" spans="1:7" s="66" customFormat="1" x14ac:dyDescent="0.2">
      <c r="A101" s="37" t="s">
        <v>30</v>
      </c>
      <c r="B101" s="30">
        <v>0</v>
      </c>
      <c r="C101" s="30">
        <v>4145783.85</v>
      </c>
      <c r="D101" s="30">
        <v>4145783.8499999992</v>
      </c>
      <c r="E101" s="30">
        <v>3796308.2499999991</v>
      </c>
      <c r="F101" s="30">
        <v>3531165.8499999987</v>
      </c>
      <c r="G101" s="30">
        <f t="shared" si="17"/>
        <v>349475.60000000009</v>
      </c>
    </row>
    <row r="102" spans="1:7" s="66" customFormat="1" x14ac:dyDescent="0.2">
      <c r="A102" s="37" t="s">
        <v>31</v>
      </c>
      <c r="B102" s="30">
        <f>864733.24-30000</f>
        <v>834733.24</v>
      </c>
      <c r="C102" s="30">
        <f>-511669.47-30000</f>
        <v>-541669.47</v>
      </c>
      <c r="D102" s="30">
        <f>353063.77-60000</f>
        <v>293063.77</v>
      </c>
      <c r="E102" s="30">
        <f>91693.18-27407.54</f>
        <v>64285.639999999992</v>
      </c>
      <c r="F102" s="30">
        <f>91693.18-27407.54</f>
        <v>64285.639999999992</v>
      </c>
      <c r="G102" s="30">
        <f t="shared" si="17"/>
        <v>228778.13000000003</v>
      </c>
    </row>
    <row r="103" spans="1:7" s="66" customFormat="1" x14ac:dyDescent="0.2">
      <c r="A103" s="37" t="s">
        <v>32</v>
      </c>
      <c r="B103" s="30">
        <v>1069000</v>
      </c>
      <c r="C103" s="30">
        <v>-19999.999999999971</v>
      </c>
      <c r="D103" s="30">
        <v>1049000</v>
      </c>
      <c r="E103" s="30">
        <v>956528.6100000001</v>
      </c>
      <c r="F103" s="30">
        <v>892728.6100000001</v>
      </c>
      <c r="G103" s="30">
        <f t="shared" si="17"/>
        <v>92471.389999999898</v>
      </c>
    </row>
    <row r="104" spans="1:7" s="66" customFormat="1" x14ac:dyDescent="0.2">
      <c r="A104" s="37" t="s">
        <v>33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f t="shared" si="17"/>
        <v>0</v>
      </c>
    </row>
    <row r="105" spans="1:7" s="66" customFormat="1" x14ac:dyDescent="0.2">
      <c r="A105" s="37" t="s">
        <v>34</v>
      </c>
      <c r="B105" s="30">
        <v>50000.000000000029</v>
      </c>
      <c r="C105" s="30">
        <v>-10000</v>
      </c>
      <c r="D105" s="30">
        <v>40000</v>
      </c>
      <c r="E105" s="30">
        <v>17697</v>
      </c>
      <c r="F105" s="30">
        <v>17697</v>
      </c>
      <c r="G105" s="30">
        <f t="shared" si="17"/>
        <v>22303</v>
      </c>
    </row>
    <row r="106" spans="1:7" s="66" customFormat="1" x14ac:dyDescent="0.2">
      <c r="A106" s="37" t="s">
        <v>35</v>
      </c>
      <c r="B106" s="30">
        <v>0</v>
      </c>
      <c r="C106" s="30">
        <v>11403</v>
      </c>
      <c r="D106" s="30">
        <v>11403</v>
      </c>
      <c r="E106" s="30">
        <v>11403</v>
      </c>
      <c r="F106" s="30">
        <v>11403</v>
      </c>
      <c r="G106" s="30">
        <f t="shared" si="17"/>
        <v>0</v>
      </c>
    </row>
    <row r="107" spans="1:7" s="66" customFormat="1" x14ac:dyDescent="0.2">
      <c r="A107" s="37" t="s">
        <v>36</v>
      </c>
      <c r="B107" s="30">
        <v>15666149.48</v>
      </c>
      <c r="C107" s="30">
        <v>574586.68000000063</v>
      </c>
      <c r="D107" s="30">
        <v>16240736.160000002</v>
      </c>
      <c r="E107" s="30">
        <v>15444306.830000002</v>
      </c>
      <c r="F107" s="30">
        <v>15311498.829999998</v>
      </c>
      <c r="G107" s="30">
        <f t="shared" si="17"/>
        <v>796429.33000000007</v>
      </c>
    </row>
    <row r="108" spans="1:7" s="66" customFormat="1" x14ac:dyDescent="0.2">
      <c r="A108" s="36" t="s">
        <v>37</v>
      </c>
      <c r="B108" s="35">
        <f>SUM(B109:B117)</f>
        <v>10000</v>
      </c>
      <c r="C108" s="35">
        <f t="shared" ref="C108:F108" si="20">SUM(C109:C117)</f>
        <v>683031.89999999991</v>
      </c>
      <c r="D108" s="35">
        <f t="shared" si="20"/>
        <v>693031.90000000189</v>
      </c>
      <c r="E108" s="35">
        <f t="shared" si="20"/>
        <v>7031.9000000000005</v>
      </c>
      <c r="F108" s="35">
        <f t="shared" si="20"/>
        <v>7031.9000000000005</v>
      </c>
      <c r="G108" s="35">
        <f t="shared" si="17"/>
        <v>686000.00000000186</v>
      </c>
    </row>
    <row r="109" spans="1:7" s="66" customFormat="1" x14ac:dyDescent="0.2">
      <c r="A109" s="37" t="s">
        <v>38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7"/>
        <v>0</v>
      </c>
    </row>
    <row r="110" spans="1:7" s="66" customFormat="1" x14ac:dyDescent="0.2">
      <c r="A110" s="37" t="s">
        <v>39</v>
      </c>
      <c r="B110" s="30">
        <v>0</v>
      </c>
      <c r="C110" s="30">
        <v>0</v>
      </c>
      <c r="D110" s="30">
        <v>0</v>
      </c>
      <c r="E110" s="30">
        <v>0</v>
      </c>
      <c r="F110" s="30">
        <v>0</v>
      </c>
      <c r="G110" s="30">
        <f t="shared" si="17"/>
        <v>0</v>
      </c>
    </row>
    <row r="111" spans="1:7" s="66" customFormat="1" x14ac:dyDescent="0.2">
      <c r="A111" s="37" t="s">
        <v>40</v>
      </c>
      <c r="B111" s="30">
        <v>0</v>
      </c>
      <c r="C111" s="30">
        <v>507031.9</v>
      </c>
      <c r="D111" s="30">
        <v>507031.9</v>
      </c>
      <c r="E111" s="30">
        <f>10518.2-3486.3</f>
        <v>7031.9000000000005</v>
      </c>
      <c r="F111" s="30">
        <f>10518.2-3486.3</f>
        <v>7031.9000000000005</v>
      </c>
      <c r="G111" s="30">
        <f t="shared" si="17"/>
        <v>500000</v>
      </c>
    </row>
    <row r="112" spans="1:7" s="66" customFormat="1" x14ac:dyDescent="0.2">
      <c r="A112" s="37" t="s">
        <v>41</v>
      </c>
      <c r="B112" s="30">
        <v>10000</v>
      </c>
      <c r="C112" s="30">
        <v>175999.99999999994</v>
      </c>
      <c r="D112" s="30">
        <v>186000.00000000186</v>
      </c>
      <c r="E112" s="30">
        <v>0</v>
      </c>
      <c r="F112" s="30">
        <v>0</v>
      </c>
      <c r="G112" s="30">
        <f t="shared" si="17"/>
        <v>186000.00000000186</v>
      </c>
    </row>
    <row r="113" spans="1:7" s="66" customFormat="1" x14ac:dyDescent="0.2">
      <c r="A113" s="37" t="s">
        <v>42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0">
        <f t="shared" si="17"/>
        <v>0</v>
      </c>
    </row>
    <row r="114" spans="1:7" s="66" customFormat="1" x14ac:dyDescent="0.2">
      <c r="A114" s="37" t="s">
        <v>43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0">
        <f t="shared" si="17"/>
        <v>0</v>
      </c>
    </row>
    <row r="115" spans="1:7" s="66" customFormat="1" x14ac:dyDescent="0.2">
      <c r="A115" s="37" t="s">
        <v>44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0">
        <f t="shared" si="17"/>
        <v>0</v>
      </c>
    </row>
    <row r="116" spans="1:7" s="66" customFormat="1" x14ac:dyDescent="0.2">
      <c r="A116" s="37" t="s">
        <v>45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0">
        <f t="shared" si="17"/>
        <v>0</v>
      </c>
    </row>
    <row r="117" spans="1:7" s="66" customFormat="1" x14ac:dyDescent="0.2">
      <c r="A117" s="37" t="s">
        <v>46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0">
        <f t="shared" si="17"/>
        <v>0</v>
      </c>
    </row>
    <row r="118" spans="1:7" s="66" customFormat="1" x14ac:dyDescent="0.2">
      <c r="A118" s="36" t="s">
        <v>47</v>
      </c>
      <c r="B118" s="35">
        <f>SUM(B119:B127)</f>
        <v>38398.849999999977</v>
      </c>
      <c r="C118" s="35">
        <f t="shared" ref="C118:F118" si="21">SUM(C119:C127)</f>
        <v>3327227.15</v>
      </c>
      <c r="D118" s="35">
        <f t="shared" si="21"/>
        <v>3365626</v>
      </c>
      <c r="E118" s="35">
        <f t="shared" si="21"/>
        <v>2549005.4500000002</v>
      </c>
      <c r="F118" s="35">
        <f t="shared" si="21"/>
        <v>2549005.4500000002</v>
      </c>
      <c r="G118" s="35">
        <f t="shared" si="17"/>
        <v>816620.54999999981</v>
      </c>
    </row>
    <row r="119" spans="1:7" s="66" customFormat="1" x14ac:dyDescent="0.2">
      <c r="A119" s="37" t="s">
        <v>48</v>
      </c>
      <c r="B119" s="30">
        <v>38398.849999999977</v>
      </c>
      <c r="C119" s="30">
        <v>607102.05000000005</v>
      </c>
      <c r="D119" s="30">
        <v>645500.9</v>
      </c>
      <c r="E119" s="30">
        <v>46424.130000000005</v>
      </c>
      <c r="F119" s="30">
        <v>46424.130000000005</v>
      </c>
      <c r="G119" s="30">
        <f t="shared" si="17"/>
        <v>599076.77</v>
      </c>
    </row>
    <row r="120" spans="1:7" s="66" customFormat="1" x14ac:dyDescent="0.2">
      <c r="A120" s="37" t="s">
        <v>49</v>
      </c>
      <c r="B120" s="30">
        <v>0</v>
      </c>
      <c r="C120" s="30">
        <v>186299.1</v>
      </c>
      <c r="D120" s="30">
        <v>186299.09999999998</v>
      </c>
      <c r="E120" s="30">
        <v>183862</v>
      </c>
      <c r="F120" s="30">
        <v>183862</v>
      </c>
      <c r="G120" s="30">
        <f t="shared" si="17"/>
        <v>2437.0999999999767</v>
      </c>
    </row>
    <row r="121" spans="1:7" s="66" customFormat="1" x14ac:dyDescent="0.2">
      <c r="A121" s="37" t="s">
        <v>50</v>
      </c>
      <c r="B121" s="30">
        <v>0</v>
      </c>
      <c r="C121" s="30">
        <v>0</v>
      </c>
      <c r="D121" s="30">
        <v>0</v>
      </c>
      <c r="E121" s="30">
        <v>0</v>
      </c>
      <c r="F121" s="30">
        <v>0</v>
      </c>
      <c r="G121" s="30">
        <f t="shared" si="17"/>
        <v>0</v>
      </c>
    </row>
    <row r="122" spans="1:7" s="66" customFormat="1" x14ac:dyDescent="0.2">
      <c r="A122" s="37" t="s">
        <v>51</v>
      </c>
      <c r="B122" s="30">
        <v>0</v>
      </c>
      <c r="C122" s="30">
        <v>2320000</v>
      </c>
      <c r="D122" s="30">
        <v>2320000</v>
      </c>
      <c r="E122" s="30">
        <v>2318719.3200000003</v>
      </c>
      <c r="F122" s="30">
        <v>2318719.3200000003</v>
      </c>
      <c r="G122" s="30">
        <f t="shared" si="17"/>
        <v>1280.679999999702</v>
      </c>
    </row>
    <row r="123" spans="1:7" s="66" customFormat="1" x14ac:dyDescent="0.2">
      <c r="A123" s="37" t="s">
        <v>52</v>
      </c>
      <c r="B123" s="30">
        <v>0</v>
      </c>
      <c r="C123" s="30">
        <v>0</v>
      </c>
      <c r="D123" s="30">
        <v>0</v>
      </c>
      <c r="E123" s="30">
        <v>0</v>
      </c>
      <c r="F123" s="30">
        <v>0</v>
      </c>
      <c r="G123" s="30">
        <f t="shared" si="17"/>
        <v>0</v>
      </c>
    </row>
    <row r="124" spans="1:7" s="66" customFormat="1" x14ac:dyDescent="0.2">
      <c r="A124" s="37" t="s">
        <v>53</v>
      </c>
      <c r="B124" s="30">
        <v>0</v>
      </c>
      <c r="C124" s="30">
        <v>158610</v>
      </c>
      <c r="D124" s="30">
        <v>158610</v>
      </c>
      <c r="E124" s="30">
        <v>0</v>
      </c>
      <c r="F124" s="30">
        <v>0</v>
      </c>
      <c r="G124" s="30">
        <f t="shared" si="17"/>
        <v>158610</v>
      </c>
    </row>
    <row r="125" spans="1:7" s="66" customFormat="1" x14ac:dyDescent="0.2">
      <c r="A125" s="37" t="s">
        <v>54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f t="shared" si="17"/>
        <v>0</v>
      </c>
    </row>
    <row r="126" spans="1:7" s="66" customFormat="1" x14ac:dyDescent="0.2">
      <c r="A126" s="37" t="s">
        <v>55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f t="shared" si="17"/>
        <v>0</v>
      </c>
    </row>
    <row r="127" spans="1:7" s="66" customFormat="1" x14ac:dyDescent="0.2">
      <c r="A127" s="37" t="s">
        <v>56</v>
      </c>
      <c r="B127" s="30">
        <v>0</v>
      </c>
      <c r="C127" s="30">
        <v>55216</v>
      </c>
      <c r="D127" s="30">
        <v>55216</v>
      </c>
      <c r="E127" s="30">
        <v>0</v>
      </c>
      <c r="F127" s="30">
        <v>0</v>
      </c>
      <c r="G127" s="30">
        <f t="shared" si="17"/>
        <v>55216</v>
      </c>
    </row>
    <row r="128" spans="1:7" s="66" customFormat="1" x14ac:dyDescent="0.2">
      <c r="A128" s="36" t="s">
        <v>57</v>
      </c>
      <c r="B128" s="35">
        <f>SUM(B129:B131)</f>
        <v>134225522.19</v>
      </c>
      <c r="C128" s="35">
        <f t="shared" ref="C128:F128" si="22">SUM(C129:C131)</f>
        <v>49534128.740000002</v>
      </c>
      <c r="D128" s="35">
        <f t="shared" si="22"/>
        <v>183759650.93000001</v>
      </c>
      <c r="E128" s="35">
        <f t="shared" si="22"/>
        <v>95501489.730000004</v>
      </c>
      <c r="F128" s="35">
        <f t="shared" si="22"/>
        <v>85012049.140000015</v>
      </c>
      <c r="G128" s="35">
        <f t="shared" si="17"/>
        <v>88258161.200000003</v>
      </c>
    </row>
    <row r="129" spans="1:7" s="66" customFormat="1" x14ac:dyDescent="0.2">
      <c r="A129" s="37" t="s">
        <v>58</v>
      </c>
      <c r="B129" s="66">
        <f>135373053.13-281265.9-183700.85-682564.19</f>
        <v>134225522.19</v>
      </c>
      <c r="C129" s="30">
        <f>51891174.74-3656831.38-104625+281265.9+183700.85+493799.7</f>
        <v>49088484.810000002</v>
      </c>
      <c r="D129" s="30">
        <f>187264227.87-3656831.38-104625-188764.49</f>
        <v>183314007</v>
      </c>
      <c r="E129" s="30">
        <f>96165839.32-919224.69-187603.6</f>
        <v>95059011.030000001</v>
      </c>
      <c r="F129" s="30">
        <f>85676398.73-919224.69-187603.6</f>
        <v>84569570.440000013</v>
      </c>
      <c r="G129" s="30">
        <f t="shared" si="17"/>
        <v>88254995.969999999</v>
      </c>
    </row>
    <row r="130" spans="1:7" s="66" customFormat="1" x14ac:dyDescent="0.2">
      <c r="A130" s="37" t="s">
        <v>59</v>
      </c>
      <c r="B130" s="66">
        <v>0</v>
      </c>
      <c r="C130" s="30">
        <v>445643.93</v>
      </c>
      <c r="D130" s="30">
        <v>445643.93</v>
      </c>
      <c r="E130" s="30">
        <v>442478.7</v>
      </c>
      <c r="F130" s="30">
        <v>442478.7</v>
      </c>
      <c r="G130" s="30">
        <f t="shared" si="17"/>
        <v>3165.2299999999814</v>
      </c>
    </row>
    <row r="131" spans="1:7" s="66" customFormat="1" x14ac:dyDescent="0.2">
      <c r="A131" s="37" t="s">
        <v>60</v>
      </c>
      <c r="B131" s="66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f t="shared" si="17"/>
        <v>0</v>
      </c>
    </row>
    <row r="132" spans="1:7" s="66" customFormat="1" x14ac:dyDescent="0.2">
      <c r="A132" s="36" t="s">
        <v>61</v>
      </c>
      <c r="B132" s="35">
        <f>SUM(B133:B140)</f>
        <v>0</v>
      </c>
      <c r="C132" s="35">
        <f t="shared" ref="C132:F132" si="23">SUM(C133:C140)</f>
        <v>0</v>
      </c>
      <c r="D132" s="35">
        <f t="shared" si="23"/>
        <v>0</v>
      </c>
      <c r="E132" s="35">
        <f t="shared" si="23"/>
        <v>0</v>
      </c>
      <c r="F132" s="35">
        <f t="shared" si="23"/>
        <v>0</v>
      </c>
      <c r="G132" s="35">
        <f t="shared" si="17"/>
        <v>0</v>
      </c>
    </row>
    <row r="133" spans="1:7" s="66" customFormat="1" x14ac:dyDescent="0.2">
      <c r="A133" s="37" t="s">
        <v>62</v>
      </c>
      <c r="B133" s="30"/>
      <c r="C133" s="30"/>
      <c r="D133" s="30"/>
      <c r="E133" s="30"/>
      <c r="F133" s="30"/>
      <c r="G133" s="30">
        <f t="shared" si="17"/>
        <v>0</v>
      </c>
    </row>
    <row r="134" spans="1:7" s="66" customFormat="1" x14ac:dyDescent="0.2">
      <c r="A134" s="37" t="s">
        <v>63</v>
      </c>
      <c r="B134" s="30"/>
      <c r="C134" s="30"/>
      <c r="D134" s="30"/>
      <c r="E134" s="30"/>
      <c r="F134" s="30"/>
      <c r="G134" s="30">
        <f t="shared" si="17"/>
        <v>0</v>
      </c>
    </row>
    <row r="135" spans="1:7" s="66" customFormat="1" x14ac:dyDescent="0.2">
      <c r="A135" s="37" t="s">
        <v>64</v>
      </c>
      <c r="B135" s="30"/>
      <c r="C135" s="30"/>
      <c r="D135" s="30"/>
      <c r="E135" s="30"/>
      <c r="F135" s="30"/>
      <c r="G135" s="30">
        <f t="shared" si="17"/>
        <v>0</v>
      </c>
    </row>
    <row r="136" spans="1:7" s="66" customFormat="1" x14ac:dyDescent="0.2">
      <c r="A136" s="37" t="s">
        <v>65</v>
      </c>
      <c r="B136" s="30"/>
      <c r="C136" s="30"/>
      <c r="D136" s="30"/>
      <c r="E136" s="30"/>
      <c r="F136" s="30"/>
      <c r="G136" s="30">
        <f t="shared" si="17"/>
        <v>0</v>
      </c>
    </row>
    <row r="137" spans="1:7" s="66" customFormat="1" x14ac:dyDescent="0.2">
      <c r="A137" s="37" t="s">
        <v>66</v>
      </c>
      <c r="B137" s="30"/>
      <c r="C137" s="30"/>
      <c r="D137" s="30"/>
      <c r="E137" s="30"/>
      <c r="F137" s="30"/>
      <c r="G137" s="30">
        <f t="shared" si="17"/>
        <v>0</v>
      </c>
    </row>
    <row r="138" spans="1:7" s="66" customFormat="1" x14ac:dyDescent="0.2">
      <c r="A138" s="37" t="s">
        <v>67</v>
      </c>
      <c r="B138" s="30"/>
      <c r="C138" s="30"/>
      <c r="D138" s="30"/>
      <c r="E138" s="30"/>
      <c r="F138" s="30"/>
      <c r="G138" s="30">
        <f t="shared" si="17"/>
        <v>0</v>
      </c>
    </row>
    <row r="139" spans="1:7" s="66" customFormat="1" x14ac:dyDescent="0.2">
      <c r="A139" s="37" t="s">
        <v>68</v>
      </c>
      <c r="B139" s="30"/>
      <c r="C139" s="30"/>
      <c r="D139" s="30"/>
      <c r="E139" s="30"/>
      <c r="F139" s="30"/>
      <c r="G139" s="30">
        <f t="shared" si="17"/>
        <v>0</v>
      </c>
    </row>
    <row r="140" spans="1:7" s="66" customFormat="1" x14ac:dyDescent="0.2">
      <c r="A140" s="37" t="s">
        <v>69</v>
      </c>
      <c r="B140" s="30"/>
      <c r="C140" s="30"/>
      <c r="D140" s="30"/>
      <c r="E140" s="30"/>
      <c r="F140" s="30"/>
      <c r="G140" s="30">
        <f t="shared" si="17"/>
        <v>0</v>
      </c>
    </row>
    <row r="141" spans="1:7" s="66" customFormat="1" x14ac:dyDescent="0.2">
      <c r="A141" s="36" t="s">
        <v>70</v>
      </c>
      <c r="B141" s="35">
        <f>SUM(B142:B144)</f>
        <v>0</v>
      </c>
      <c r="C141" s="35">
        <f t="shared" ref="C141:F141" si="24">SUM(C142:C144)</f>
        <v>0</v>
      </c>
      <c r="D141" s="35">
        <f t="shared" si="24"/>
        <v>0</v>
      </c>
      <c r="E141" s="35">
        <f t="shared" si="24"/>
        <v>0</v>
      </c>
      <c r="F141" s="35">
        <f t="shared" si="24"/>
        <v>0</v>
      </c>
      <c r="G141" s="35">
        <f t="shared" si="17"/>
        <v>0</v>
      </c>
    </row>
    <row r="142" spans="1:7" s="66" customFormat="1" x14ac:dyDescent="0.2">
      <c r="A142" s="37" t="s">
        <v>71</v>
      </c>
      <c r="B142" s="30"/>
      <c r="C142" s="30"/>
      <c r="D142" s="30"/>
      <c r="E142" s="30"/>
      <c r="F142" s="30"/>
      <c r="G142" s="30">
        <f t="shared" si="17"/>
        <v>0</v>
      </c>
    </row>
    <row r="143" spans="1:7" s="66" customFormat="1" x14ac:dyDescent="0.2">
      <c r="A143" s="37" t="s">
        <v>72</v>
      </c>
      <c r="B143" s="30"/>
      <c r="C143" s="30"/>
      <c r="D143" s="30"/>
      <c r="E143" s="30"/>
      <c r="F143" s="30"/>
      <c r="G143" s="30">
        <f t="shared" si="17"/>
        <v>0</v>
      </c>
    </row>
    <row r="144" spans="1:7" s="66" customFormat="1" x14ac:dyDescent="0.2">
      <c r="A144" s="37" t="s">
        <v>73</v>
      </c>
      <c r="B144" s="30"/>
      <c r="C144" s="30"/>
      <c r="D144" s="30"/>
      <c r="E144" s="30"/>
      <c r="F144" s="30"/>
      <c r="G144" s="30">
        <f t="shared" si="17"/>
        <v>0</v>
      </c>
    </row>
    <row r="145" spans="1:10" s="66" customFormat="1" x14ac:dyDescent="0.2">
      <c r="A145" s="36" t="s">
        <v>74</v>
      </c>
      <c r="B145" s="35">
        <f>SUM(B146:B152)</f>
        <v>1585935.2</v>
      </c>
      <c r="C145" s="35">
        <f t="shared" ref="C145:F145" si="25">SUM(C146:C152)</f>
        <v>461705.54</v>
      </c>
      <c r="D145" s="35">
        <f t="shared" si="25"/>
        <v>2047640.74</v>
      </c>
      <c r="E145" s="35">
        <f t="shared" si="25"/>
        <v>1942822.4</v>
      </c>
      <c r="F145" s="35">
        <f t="shared" si="25"/>
        <v>1942822.4</v>
      </c>
      <c r="G145" s="35">
        <f t="shared" ref="G145:G152" si="26">D145-E145</f>
        <v>104818.34000000008</v>
      </c>
    </row>
    <row r="146" spans="1:10" s="66" customFormat="1" x14ac:dyDescent="0.2">
      <c r="A146" s="37" t="s">
        <v>75</v>
      </c>
      <c r="B146" s="30">
        <v>1385935.2</v>
      </c>
      <c r="C146" s="30">
        <v>461705.54</v>
      </c>
      <c r="D146" s="30">
        <v>1847640.74</v>
      </c>
      <c r="E146" s="30">
        <v>1847640.74</v>
      </c>
      <c r="F146" s="30">
        <v>1847640.74</v>
      </c>
      <c r="G146" s="30">
        <f t="shared" si="26"/>
        <v>0</v>
      </c>
    </row>
    <row r="147" spans="1:10" s="66" customFormat="1" x14ac:dyDescent="0.2">
      <c r="A147" s="37" t="s">
        <v>76</v>
      </c>
      <c r="B147" s="30">
        <v>200000</v>
      </c>
      <c r="C147" s="30">
        <v>0</v>
      </c>
      <c r="D147" s="30">
        <v>200000</v>
      </c>
      <c r="E147" s="30">
        <v>95181.66</v>
      </c>
      <c r="F147" s="30">
        <v>95181.66</v>
      </c>
      <c r="G147" s="30">
        <f t="shared" si="26"/>
        <v>104818.34</v>
      </c>
    </row>
    <row r="148" spans="1:10" s="66" customFormat="1" x14ac:dyDescent="0.2">
      <c r="A148" s="37" t="s">
        <v>77</v>
      </c>
      <c r="B148" s="30"/>
      <c r="C148" s="30"/>
      <c r="D148" s="30"/>
      <c r="E148" s="30"/>
      <c r="F148" s="30"/>
      <c r="G148" s="30">
        <f t="shared" si="26"/>
        <v>0</v>
      </c>
    </row>
    <row r="149" spans="1:10" s="66" customFormat="1" x14ac:dyDescent="0.2">
      <c r="A149" s="37" t="s">
        <v>78</v>
      </c>
      <c r="B149" s="30"/>
      <c r="C149" s="30"/>
      <c r="D149" s="30"/>
      <c r="E149" s="30"/>
      <c r="F149" s="30"/>
      <c r="G149" s="30">
        <f t="shared" si="26"/>
        <v>0</v>
      </c>
    </row>
    <row r="150" spans="1:10" s="66" customFormat="1" x14ac:dyDescent="0.2">
      <c r="A150" s="37" t="s">
        <v>79</v>
      </c>
      <c r="B150" s="30"/>
      <c r="C150" s="30"/>
      <c r="D150" s="30"/>
      <c r="E150" s="30"/>
      <c r="F150" s="30"/>
      <c r="G150" s="30">
        <f t="shared" si="26"/>
        <v>0</v>
      </c>
    </row>
    <row r="151" spans="1:10" s="66" customFormat="1" x14ac:dyDescent="0.2">
      <c r="A151" s="37" t="s">
        <v>80</v>
      </c>
      <c r="B151" s="30"/>
      <c r="C151" s="30"/>
      <c r="D151" s="30"/>
      <c r="E151" s="30"/>
      <c r="F151" s="30"/>
      <c r="G151" s="30">
        <f t="shared" si="26"/>
        <v>0</v>
      </c>
    </row>
    <row r="152" spans="1:10" s="66" customFormat="1" x14ac:dyDescent="0.2">
      <c r="A152" s="37" t="s">
        <v>81</v>
      </c>
      <c r="B152" s="30"/>
      <c r="C152" s="30"/>
      <c r="D152" s="30"/>
      <c r="E152" s="30"/>
      <c r="F152" s="30"/>
      <c r="G152" s="30">
        <f t="shared" si="26"/>
        <v>0</v>
      </c>
    </row>
    <row r="153" spans="1:10" s="66" customFormat="1" ht="5.0999999999999996" customHeight="1" x14ac:dyDescent="0.2">
      <c r="A153" s="36"/>
      <c r="B153" s="30"/>
      <c r="C153" s="30"/>
      <c r="D153" s="30"/>
      <c r="E153" s="30"/>
      <c r="F153" s="30"/>
      <c r="G153" s="30"/>
    </row>
    <row r="154" spans="1:10" s="66" customFormat="1" x14ac:dyDescent="0.2">
      <c r="A154" s="34" t="s">
        <v>83</v>
      </c>
      <c r="B154" s="35">
        <f>B4+B79</f>
        <v>382117055.64999998</v>
      </c>
      <c r="C154" s="35">
        <f t="shared" ref="C154:G154" si="27">C4+C79</f>
        <v>74992403.560000002</v>
      </c>
      <c r="D154" s="35">
        <f t="shared" si="27"/>
        <v>457109459.21000004</v>
      </c>
      <c r="E154" s="35">
        <f t="shared" si="27"/>
        <v>346155401.05000007</v>
      </c>
      <c r="F154" s="35">
        <f t="shared" si="27"/>
        <v>331457827.20000005</v>
      </c>
      <c r="G154" s="35">
        <f t="shared" si="27"/>
        <v>110954058.16000003</v>
      </c>
    </row>
    <row r="155" spans="1:10" ht="5.0999999999999996" customHeight="1" x14ac:dyDescent="0.2">
      <c r="A155" s="3"/>
      <c r="B155" s="4"/>
      <c r="C155" s="4"/>
      <c r="D155" s="4"/>
      <c r="E155" s="4"/>
      <c r="F155" s="4"/>
      <c r="G155" s="4"/>
    </row>
    <row r="156" spans="1:10" x14ac:dyDescent="0.2">
      <c r="I156" s="71"/>
      <c r="J156" s="72"/>
    </row>
    <row r="157" spans="1:10" s="42" customFormat="1" ht="11.25" x14ac:dyDescent="0.2">
      <c r="A157" s="38"/>
      <c r="B157" s="39"/>
      <c r="C157" s="39"/>
      <c r="D157" s="39"/>
      <c r="E157" s="40"/>
      <c r="F157" s="41"/>
    </row>
    <row r="158" spans="1:10" s="46" customFormat="1" ht="11.25" x14ac:dyDescent="0.2">
      <c r="A158" s="43"/>
      <c r="B158" s="44"/>
      <c r="C158" s="44"/>
      <c r="D158" s="45"/>
      <c r="E158" s="43"/>
    </row>
    <row r="159" spans="1:10" s="46" customFormat="1" ht="11.25" x14ac:dyDescent="0.2">
      <c r="A159" s="43"/>
      <c r="B159" s="44"/>
      <c r="C159" s="44"/>
      <c r="D159" s="45"/>
      <c r="E159" s="43"/>
    </row>
    <row r="160" spans="1:10" s="46" customFormat="1" ht="11.25" x14ac:dyDescent="0.2">
      <c r="A160" s="43"/>
      <c r="B160" s="44"/>
      <c r="C160" s="44"/>
      <c r="D160" s="45"/>
      <c r="E160" s="43"/>
    </row>
    <row r="161" spans="1:5" s="46" customFormat="1" ht="11.25" x14ac:dyDescent="0.2">
      <c r="A161" s="43"/>
      <c r="B161" s="44"/>
      <c r="C161" s="44"/>
      <c r="D161" s="45"/>
      <c r="E161" s="43"/>
    </row>
    <row r="162" spans="1:5" s="46" customFormat="1" ht="11.25" x14ac:dyDescent="0.2">
      <c r="A162" s="43"/>
      <c r="B162" s="44"/>
      <c r="C162" s="44"/>
      <c r="D162" s="45"/>
      <c r="E162" s="43"/>
    </row>
    <row r="163" spans="1:5" s="46" customFormat="1" ht="11.25" x14ac:dyDescent="0.2">
      <c r="A163" s="43"/>
      <c r="B163" s="44"/>
      <c r="C163" s="44"/>
      <c r="D163" s="45"/>
      <c r="E163" s="43"/>
    </row>
    <row r="164" spans="1:5" s="46" customFormat="1" ht="11.25" x14ac:dyDescent="0.2">
      <c r="A164" s="43"/>
      <c r="B164" s="44"/>
      <c r="C164" s="44"/>
      <c r="D164" s="45"/>
      <c r="E164" s="43"/>
    </row>
    <row r="165" spans="1:5" s="46" customFormat="1" ht="11.25" x14ac:dyDescent="0.2">
      <c r="A165" s="43"/>
      <c r="B165" s="44"/>
      <c r="C165" s="44"/>
      <c r="D165" s="45"/>
      <c r="E165" s="43"/>
    </row>
    <row r="166" spans="1:5" s="5" customFormat="1" ht="11.25" x14ac:dyDescent="0.2"/>
    <row r="167" spans="1:5" s="5" customFormat="1" ht="11.25" x14ac:dyDescent="0.2"/>
    <row r="168" spans="1:5" s="5" customFormat="1" ht="11.25" x14ac:dyDescent="0.2"/>
    <row r="169" spans="1:5" s="5" customFormat="1" ht="11.25" x14ac:dyDescent="0.2"/>
    <row r="170" spans="1:5" s="5" customFormat="1" ht="11.25" x14ac:dyDescent="0.2"/>
    <row r="171" spans="1:5" s="5" customFormat="1" ht="11.25" x14ac:dyDescent="0.2"/>
    <row r="172" spans="1:5" s="5" customFormat="1" ht="11.25" x14ac:dyDescent="0.2"/>
    <row r="173" spans="1:5" s="5" customFormat="1" ht="11.25" x14ac:dyDescent="0.2"/>
    <row r="174" spans="1:5" s="5" customFormat="1" ht="11.25" x14ac:dyDescent="0.2"/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B89" sqref="B89"/>
    </sheetView>
  </sheetViews>
  <sheetFormatPr baseColWidth="10" defaultRowHeight="11.25" x14ac:dyDescent="0.2"/>
  <cols>
    <col min="1" max="1" width="45.83203125" style="5" customWidth="1"/>
    <col min="2" max="7" width="16.83203125" style="5" customWidth="1"/>
    <col min="8" max="16384" width="12" style="5"/>
  </cols>
  <sheetData>
    <row r="1" spans="1:7" ht="56.1" customHeight="1" x14ac:dyDescent="0.2">
      <c r="A1" s="74" t="s">
        <v>203</v>
      </c>
      <c r="B1" s="75"/>
      <c r="C1" s="75"/>
      <c r="D1" s="75"/>
      <c r="E1" s="75"/>
      <c r="F1" s="75"/>
      <c r="G1" s="76"/>
    </row>
    <row r="2" spans="1:7" x14ac:dyDescent="0.2">
      <c r="A2" s="6"/>
      <c r="B2" s="78" t="s">
        <v>0</v>
      </c>
      <c r="C2" s="78"/>
      <c r="D2" s="78"/>
      <c r="E2" s="78"/>
      <c r="F2" s="78"/>
      <c r="G2" s="6"/>
    </row>
    <row r="3" spans="1:7" ht="22.5" x14ac:dyDescent="0.2">
      <c r="A3" s="7" t="s">
        <v>1</v>
      </c>
      <c r="B3" s="8" t="s">
        <v>2</v>
      </c>
      <c r="C3" s="8" t="s">
        <v>84</v>
      </c>
      <c r="D3" s="8" t="s">
        <v>85</v>
      </c>
      <c r="E3" s="8" t="s">
        <v>5</v>
      </c>
      <c r="F3" s="8" t="s">
        <v>86</v>
      </c>
      <c r="G3" s="7" t="s">
        <v>87</v>
      </c>
    </row>
    <row r="4" spans="1:7" x14ac:dyDescent="0.2">
      <c r="A4" s="9" t="s">
        <v>88</v>
      </c>
      <c r="B4" s="10"/>
      <c r="C4" s="10"/>
      <c r="D4" s="10"/>
      <c r="E4" s="10"/>
      <c r="F4" s="10"/>
      <c r="G4" s="10"/>
    </row>
    <row r="5" spans="1:7" x14ac:dyDescent="0.2">
      <c r="A5" s="11" t="s">
        <v>89</v>
      </c>
      <c r="B5" s="1">
        <f t="shared" ref="B5:G5" si="0">SUM(B6:B65)</f>
        <v>171094980.94</v>
      </c>
      <c r="C5" s="1">
        <f t="shared" si="0"/>
        <v>7676799.4200000009</v>
      </c>
      <c r="D5" s="1">
        <f t="shared" si="0"/>
        <v>178771780.36000001</v>
      </c>
      <c r="E5" s="1">
        <f t="shared" si="0"/>
        <v>164599735.32999995</v>
      </c>
      <c r="F5" s="1">
        <f t="shared" si="0"/>
        <v>162402253.96000001</v>
      </c>
      <c r="G5" s="1">
        <f t="shared" si="0"/>
        <v>14172045.029999999</v>
      </c>
    </row>
    <row r="6" spans="1:7" x14ac:dyDescent="0.2">
      <c r="A6" s="31" t="s">
        <v>143</v>
      </c>
      <c r="B6" s="32">
        <v>1301866</v>
      </c>
      <c r="C6" s="33">
        <v>119000</v>
      </c>
      <c r="D6" s="32">
        <v>1420866</v>
      </c>
      <c r="E6" s="32">
        <v>1420686.4</v>
      </c>
      <c r="F6" s="32">
        <v>1420686.4</v>
      </c>
      <c r="G6" s="30">
        <f>D6-E6</f>
        <v>179.60000000009313</v>
      </c>
    </row>
    <row r="7" spans="1:7" x14ac:dyDescent="0.2">
      <c r="A7" s="31" t="s">
        <v>144</v>
      </c>
      <c r="B7" s="32">
        <v>871505</v>
      </c>
      <c r="C7" s="33">
        <v>102000</v>
      </c>
      <c r="D7" s="32">
        <v>973505</v>
      </c>
      <c r="E7" s="32">
        <v>972213.05</v>
      </c>
      <c r="F7" s="32">
        <v>972213.05</v>
      </c>
      <c r="G7" s="30">
        <f t="shared" ref="G7:G65" si="1">D7-E7</f>
        <v>1291.9499999999534</v>
      </c>
    </row>
    <row r="8" spans="1:7" x14ac:dyDescent="0.2">
      <c r="A8" s="31" t="s">
        <v>145</v>
      </c>
      <c r="B8" s="32">
        <v>7842449</v>
      </c>
      <c r="C8" s="33">
        <v>818000.00000000012</v>
      </c>
      <c r="D8" s="32">
        <v>8660449</v>
      </c>
      <c r="E8" s="32">
        <v>8518949.5899999999</v>
      </c>
      <c r="F8" s="32">
        <v>8445755.4900000002</v>
      </c>
      <c r="G8" s="30">
        <f t="shared" si="1"/>
        <v>141499.41000000015</v>
      </c>
    </row>
    <row r="9" spans="1:7" x14ac:dyDescent="0.2">
      <c r="A9" s="31" t="s">
        <v>146</v>
      </c>
      <c r="B9" s="32">
        <v>1857859</v>
      </c>
      <c r="C9" s="33">
        <v>65709.76999999999</v>
      </c>
      <c r="D9" s="32">
        <v>1923568.77</v>
      </c>
      <c r="E9" s="32">
        <v>1677810.78</v>
      </c>
      <c r="F9" s="32">
        <v>1677810.78</v>
      </c>
      <c r="G9" s="30">
        <f t="shared" si="1"/>
        <v>245757.99</v>
      </c>
    </row>
    <row r="10" spans="1:7" x14ac:dyDescent="0.2">
      <c r="A10" s="31" t="s">
        <v>147</v>
      </c>
      <c r="B10" s="32">
        <v>7784918</v>
      </c>
      <c r="C10" s="33">
        <v>-128792.18000000005</v>
      </c>
      <c r="D10" s="32">
        <v>7656125.8200000003</v>
      </c>
      <c r="E10" s="32">
        <v>7111784.9000000004</v>
      </c>
      <c r="F10" s="32">
        <v>7095422.1600000001</v>
      </c>
      <c r="G10" s="30">
        <f t="shared" si="1"/>
        <v>544340.91999999993</v>
      </c>
    </row>
    <row r="11" spans="1:7" x14ac:dyDescent="0.2">
      <c r="A11" s="31" t="s">
        <v>148</v>
      </c>
      <c r="B11" s="32">
        <v>2430175</v>
      </c>
      <c r="C11" s="33">
        <v>418203.26</v>
      </c>
      <c r="D11" s="32">
        <v>2848378.26</v>
      </c>
      <c r="E11" s="32">
        <v>2656601.85</v>
      </c>
      <c r="F11" s="32">
        <v>2649121.85</v>
      </c>
      <c r="G11" s="30">
        <f t="shared" si="1"/>
        <v>191776.40999999968</v>
      </c>
    </row>
    <row r="12" spans="1:7" x14ac:dyDescent="0.2">
      <c r="A12" s="31" t="s">
        <v>149</v>
      </c>
      <c r="B12" s="32">
        <v>1111658</v>
      </c>
      <c r="C12" s="33">
        <v>-22781.070000000007</v>
      </c>
      <c r="D12" s="32">
        <v>1088876.93</v>
      </c>
      <c r="E12" s="32">
        <v>1069236.68</v>
      </c>
      <c r="F12" s="32">
        <v>1069236.68</v>
      </c>
      <c r="G12" s="30">
        <f t="shared" si="1"/>
        <v>19640.25</v>
      </c>
    </row>
    <row r="13" spans="1:7" x14ac:dyDescent="0.2">
      <c r="A13" s="31" t="s">
        <v>150</v>
      </c>
      <c r="B13" s="32">
        <v>3401792</v>
      </c>
      <c r="C13" s="33">
        <v>-28677.119999999999</v>
      </c>
      <c r="D13" s="32">
        <v>3373114.88</v>
      </c>
      <c r="E13" s="32">
        <v>3318645.92</v>
      </c>
      <c r="F13" s="32">
        <v>3318645.92</v>
      </c>
      <c r="G13" s="30">
        <f t="shared" si="1"/>
        <v>54468.959999999963</v>
      </c>
    </row>
    <row r="14" spans="1:7" x14ac:dyDescent="0.2">
      <c r="A14" s="31" t="s">
        <v>151</v>
      </c>
      <c r="B14" s="32">
        <v>1850522</v>
      </c>
      <c r="C14" s="33">
        <v>-76725.61</v>
      </c>
      <c r="D14" s="32">
        <v>1773796.39</v>
      </c>
      <c r="E14" s="32">
        <v>1475555.79</v>
      </c>
      <c r="F14" s="32">
        <v>1475555.79</v>
      </c>
      <c r="G14" s="30">
        <f t="shared" si="1"/>
        <v>298240.59999999986</v>
      </c>
    </row>
    <row r="15" spans="1:7" x14ac:dyDescent="0.2">
      <c r="A15" s="31" t="s">
        <v>152</v>
      </c>
      <c r="B15" s="32">
        <v>102604</v>
      </c>
      <c r="C15" s="33">
        <v>-1728.51</v>
      </c>
      <c r="D15" s="32">
        <v>100875.49</v>
      </c>
      <c r="E15" s="32">
        <v>98474.87</v>
      </c>
      <c r="F15" s="32">
        <v>98474.87</v>
      </c>
      <c r="G15" s="30">
        <f t="shared" si="1"/>
        <v>2400.6200000000099</v>
      </c>
    </row>
    <row r="16" spans="1:7" x14ac:dyDescent="0.2">
      <c r="A16" s="31" t="s">
        <v>153</v>
      </c>
      <c r="B16" s="32">
        <v>440591</v>
      </c>
      <c r="C16" s="33">
        <v>-27482.91</v>
      </c>
      <c r="D16" s="32">
        <v>413108.09</v>
      </c>
      <c r="E16" s="32">
        <v>408215.21</v>
      </c>
      <c r="F16" s="32">
        <v>408215.21</v>
      </c>
      <c r="G16" s="30">
        <f t="shared" si="1"/>
        <v>4892.8800000000047</v>
      </c>
    </row>
    <row r="17" spans="1:7" x14ac:dyDescent="0.2">
      <c r="A17" s="31" t="s">
        <v>154</v>
      </c>
      <c r="B17" s="32">
        <v>423261</v>
      </c>
      <c r="C17" s="33">
        <v>-1776.7800000000002</v>
      </c>
      <c r="D17" s="32">
        <v>421484.22</v>
      </c>
      <c r="E17" s="32">
        <v>417937.69</v>
      </c>
      <c r="F17" s="32">
        <v>417937.69</v>
      </c>
      <c r="G17" s="30">
        <f t="shared" si="1"/>
        <v>3546.5299999999697</v>
      </c>
    </row>
    <row r="18" spans="1:7" x14ac:dyDescent="0.2">
      <c r="A18" s="31" t="s">
        <v>155</v>
      </c>
      <c r="B18" s="32">
        <v>242352</v>
      </c>
      <c r="C18" s="33">
        <v>-2852.37</v>
      </c>
      <c r="D18" s="32">
        <v>239499.63</v>
      </c>
      <c r="E18" s="32">
        <v>236610.04</v>
      </c>
      <c r="F18" s="32">
        <v>236610.04</v>
      </c>
      <c r="G18" s="30">
        <f t="shared" si="1"/>
        <v>2889.5899999999965</v>
      </c>
    </row>
    <row r="19" spans="1:7" x14ac:dyDescent="0.2">
      <c r="A19" s="31" t="s">
        <v>156</v>
      </c>
      <c r="B19" s="32">
        <v>42529512.25</v>
      </c>
      <c r="C19" s="33">
        <v>-8277343.9899999984</v>
      </c>
      <c r="D19" s="32">
        <v>34252168.259999998</v>
      </c>
      <c r="E19" s="32">
        <v>30190345.48</v>
      </c>
      <c r="F19" s="32">
        <v>28328003.52</v>
      </c>
      <c r="G19" s="30">
        <f t="shared" si="1"/>
        <v>4061822.7799999975</v>
      </c>
    </row>
    <row r="20" spans="1:7" x14ac:dyDescent="0.2">
      <c r="A20" s="31" t="s">
        <v>157</v>
      </c>
      <c r="B20" s="32">
        <v>3974591</v>
      </c>
      <c r="C20" s="33">
        <v>-391831.03999999998</v>
      </c>
      <c r="D20" s="32">
        <v>3582759.96</v>
      </c>
      <c r="E20" s="32">
        <v>3532579.37</v>
      </c>
      <c r="F20" s="32">
        <v>3526719.38</v>
      </c>
      <c r="G20" s="30">
        <f t="shared" si="1"/>
        <v>50180.589999999851</v>
      </c>
    </row>
    <row r="21" spans="1:7" x14ac:dyDescent="0.2">
      <c r="A21" s="31" t="s">
        <v>158</v>
      </c>
      <c r="B21" s="32">
        <v>1422450</v>
      </c>
      <c r="C21" s="33">
        <v>-205603.97</v>
      </c>
      <c r="D21" s="32">
        <v>1216846.03</v>
      </c>
      <c r="E21" s="32">
        <v>1193350.49</v>
      </c>
      <c r="F21" s="32">
        <v>1193350.49</v>
      </c>
      <c r="G21" s="30">
        <f t="shared" si="1"/>
        <v>23495.540000000037</v>
      </c>
    </row>
    <row r="22" spans="1:7" x14ac:dyDescent="0.2">
      <c r="A22" s="31" t="s">
        <v>159</v>
      </c>
      <c r="B22" s="32">
        <v>744754</v>
      </c>
      <c r="C22" s="33">
        <v>-228051.11</v>
      </c>
      <c r="D22" s="32">
        <v>516702.89</v>
      </c>
      <c r="E22" s="32">
        <v>501549.16</v>
      </c>
      <c r="F22" s="32">
        <v>501549.16</v>
      </c>
      <c r="G22" s="30">
        <f t="shared" si="1"/>
        <v>15153.73000000004</v>
      </c>
    </row>
    <row r="23" spans="1:7" x14ac:dyDescent="0.2">
      <c r="A23" s="31" t="s">
        <v>160</v>
      </c>
      <c r="B23" s="32">
        <v>963060</v>
      </c>
      <c r="C23" s="33">
        <v>-31370.48</v>
      </c>
      <c r="D23" s="32">
        <v>931689.52</v>
      </c>
      <c r="E23" s="32">
        <v>904249.33</v>
      </c>
      <c r="F23" s="32">
        <v>904249.33</v>
      </c>
      <c r="G23" s="30">
        <f t="shared" si="1"/>
        <v>27440.190000000061</v>
      </c>
    </row>
    <row r="24" spans="1:7" x14ac:dyDescent="0.2">
      <c r="A24" s="31" t="s">
        <v>161</v>
      </c>
      <c r="B24" s="32">
        <v>832608</v>
      </c>
      <c r="C24" s="33">
        <v>-56156.59</v>
      </c>
      <c r="D24" s="32">
        <v>776451.41</v>
      </c>
      <c r="E24" s="32">
        <v>750565.82</v>
      </c>
      <c r="F24" s="32">
        <v>750565.82</v>
      </c>
      <c r="G24" s="30">
        <f t="shared" si="1"/>
        <v>25885.590000000084</v>
      </c>
    </row>
    <row r="25" spans="1:7" x14ac:dyDescent="0.2">
      <c r="A25" s="31" t="s">
        <v>162</v>
      </c>
      <c r="B25" s="32">
        <v>542965</v>
      </c>
      <c r="C25" s="33">
        <v>0</v>
      </c>
      <c r="D25" s="32">
        <v>542965</v>
      </c>
      <c r="E25" s="32">
        <v>533118</v>
      </c>
      <c r="F25" s="32">
        <v>533118</v>
      </c>
      <c r="G25" s="30">
        <f t="shared" si="1"/>
        <v>9847</v>
      </c>
    </row>
    <row r="26" spans="1:7" x14ac:dyDescent="0.2">
      <c r="A26" s="31" t="s">
        <v>163</v>
      </c>
      <c r="B26" s="32">
        <v>630101</v>
      </c>
      <c r="C26" s="33">
        <v>0</v>
      </c>
      <c r="D26" s="32">
        <v>630101</v>
      </c>
      <c r="E26" s="32">
        <v>619775.80000000005</v>
      </c>
      <c r="F26" s="32">
        <v>619775.80000000005</v>
      </c>
      <c r="G26" s="30">
        <f t="shared" si="1"/>
        <v>10325.199999999953</v>
      </c>
    </row>
    <row r="27" spans="1:7" x14ac:dyDescent="0.2">
      <c r="A27" s="31" t="s">
        <v>164</v>
      </c>
      <c r="B27" s="32">
        <v>422709</v>
      </c>
      <c r="C27" s="33">
        <v>-17344.38</v>
      </c>
      <c r="D27" s="32">
        <v>405364.62</v>
      </c>
      <c r="E27" s="32">
        <v>403082.21</v>
      </c>
      <c r="F27" s="32">
        <v>403082.21</v>
      </c>
      <c r="G27" s="30">
        <f t="shared" si="1"/>
        <v>2282.4099999999744</v>
      </c>
    </row>
    <row r="28" spans="1:7" x14ac:dyDescent="0.2">
      <c r="A28" s="31" t="s">
        <v>165</v>
      </c>
      <c r="B28" s="32">
        <v>1026170</v>
      </c>
      <c r="C28" s="33">
        <v>-20945.98</v>
      </c>
      <c r="D28" s="32">
        <v>1005224.02</v>
      </c>
      <c r="E28" s="32">
        <v>989249.32</v>
      </c>
      <c r="F28" s="32">
        <v>989249.32</v>
      </c>
      <c r="G28" s="30">
        <f t="shared" si="1"/>
        <v>15974.70000000007</v>
      </c>
    </row>
    <row r="29" spans="1:7" x14ac:dyDescent="0.2">
      <c r="A29" s="31" t="s">
        <v>166</v>
      </c>
      <c r="B29" s="32">
        <v>633412</v>
      </c>
      <c r="C29" s="33">
        <v>-16235</v>
      </c>
      <c r="D29" s="32">
        <v>617177</v>
      </c>
      <c r="E29" s="32">
        <v>586849.97</v>
      </c>
      <c r="F29" s="32">
        <v>586849.97</v>
      </c>
      <c r="G29" s="30">
        <f t="shared" si="1"/>
        <v>30327.030000000028</v>
      </c>
    </row>
    <row r="30" spans="1:7" x14ac:dyDescent="0.2">
      <c r="A30" s="31" t="s">
        <v>167</v>
      </c>
      <c r="B30" s="32">
        <v>7923622.9400000004</v>
      </c>
      <c r="C30" s="33">
        <v>9800598.9400000013</v>
      </c>
      <c r="D30" s="32">
        <v>17724221.879999999</v>
      </c>
      <c r="E30" s="32">
        <v>12634711.59</v>
      </c>
      <c r="F30" s="32">
        <v>12518339.060000001</v>
      </c>
      <c r="G30" s="30">
        <f t="shared" si="1"/>
        <v>5089510.2899999991</v>
      </c>
    </row>
    <row r="31" spans="1:7" x14ac:dyDescent="0.2">
      <c r="A31" s="31" t="s">
        <v>168</v>
      </c>
      <c r="B31" s="32">
        <v>5298673</v>
      </c>
      <c r="C31" s="33">
        <v>-5215.88</v>
      </c>
      <c r="D31" s="32">
        <v>5293457.12</v>
      </c>
      <c r="E31" s="32">
        <v>5237176.71</v>
      </c>
      <c r="F31" s="32">
        <v>5237176.71</v>
      </c>
      <c r="G31" s="30">
        <f t="shared" si="1"/>
        <v>56280.410000000149</v>
      </c>
    </row>
    <row r="32" spans="1:7" x14ac:dyDescent="0.2">
      <c r="A32" s="31" t="s">
        <v>169</v>
      </c>
      <c r="B32" s="32">
        <v>1821252</v>
      </c>
      <c r="C32" s="33">
        <v>-19507</v>
      </c>
      <c r="D32" s="32">
        <v>1801745</v>
      </c>
      <c r="E32" s="32">
        <v>1800838.35</v>
      </c>
      <c r="F32" s="32">
        <v>1800838.35</v>
      </c>
      <c r="G32" s="30">
        <f t="shared" si="1"/>
        <v>906.64999999990687</v>
      </c>
    </row>
    <row r="33" spans="1:7" x14ac:dyDescent="0.2">
      <c r="A33" s="31" t="s">
        <v>170</v>
      </c>
      <c r="B33" s="32">
        <v>995789</v>
      </c>
      <c r="C33" s="33">
        <v>9845.8099999999977</v>
      </c>
      <c r="D33" s="32">
        <v>1005634.81</v>
      </c>
      <c r="E33" s="32">
        <v>997110.88</v>
      </c>
      <c r="F33" s="32">
        <v>997110.88</v>
      </c>
      <c r="G33" s="30">
        <f t="shared" si="1"/>
        <v>8523.9300000000512</v>
      </c>
    </row>
    <row r="34" spans="1:7" x14ac:dyDescent="0.2">
      <c r="A34" s="31" t="s">
        <v>171</v>
      </c>
      <c r="B34" s="32">
        <v>2391218</v>
      </c>
      <c r="C34" s="33">
        <v>-147274.84</v>
      </c>
      <c r="D34" s="32">
        <v>2243943.16</v>
      </c>
      <c r="E34" s="32">
        <v>2231295.4900000002</v>
      </c>
      <c r="F34" s="32">
        <v>2231295.4900000002</v>
      </c>
      <c r="G34" s="30">
        <f t="shared" si="1"/>
        <v>12647.669999999925</v>
      </c>
    </row>
    <row r="35" spans="1:7" x14ac:dyDescent="0.2">
      <c r="A35" s="31" t="s">
        <v>172</v>
      </c>
      <c r="B35" s="32">
        <v>7096771</v>
      </c>
      <c r="C35" s="33">
        <v>-100015.58</v>
      </c>
      <c r="D35" s="32">
        <v>6996755.4199999999</v>
      </c>
      <c r="E35" s="32">
        <v>6870355.9199999999</v>
      </c>
      <c r="F35" s="32">
        <v>6870355.9199999999</v>
      </c>
      <c r="G35" s="30">
        <f t="shared" si="1"/>
        <v>126399.5</v>
      </c>
    </row>
    <row r="36" spans="1:7" x14ac:dyDescent="0.2">
      <c r="A36" s="31" t="s">
        <v>173</v>
      </c>
      <c r="B36" s="32">
        <v>3522435</v>
      </c>
      <c r="C36" s="33">
        <v>-81131.070000000007</v>
      </c>
      <c r="D36" s="32">
        <v>3441303.93</v>
      </c>
      <c r="E36" s="32">
        <v>3363015.95</v>
      </c>
      <c r="F36" s="32">
        <v>3363015.95</v>
      </c>
      <c r="G36" s="30">
        <f t="shared" si="1"/>
        <v>78287.979999999981</v>
      </c>
    </row>
    <row r="37" spans="1:7" x14ac:dyDescent="0.2">
      <c r="A37" s="31" t="s">
        <v>174</v>
      </c>
      <c r="B37" s="32">
        <v>3117571</v>
      </c>
      <c r="C37" s="33">
        <v>-140644.26</v>
      </c>
      <c r="D37" s="32">
        <v>2976926.74</v>
      </c>
      <c r="E37" s="32">
        <v>2952962.52</v>
      </c>
      <c r="F37" s="32">
        <v>2952962.52</v>
      </c>
      <c r="G37" s="30">
        <f t="shared" si="1"/>
        <v>23964.220000000205</v>
      </c>
    </row>
    <row r="38" spans="1:7" x14ac:dyDescent="0.2">
      <c r="A38" s="31" t="s">
        <v>175</v>
      </c>
      <c r="B38" s="32">
        <v>2341013</v>
      </c>
      <c r="C38" s="33">
        <v>-67649.05</v>
      </c>
      <c r="D38" s="32">
        <v>2273363.9500000002</v>
      </c>
      <c r="E38" s="32">
        <v>2199930.2400000002</v>
      </c>
      <c r="F38" s="32">
        <v>2199930.2400000002</v>
      </c>
      <c r="G38" s="30">
        <f t="shared" si="1"/>
        <v>73433.709999999963</v>
      </c>
    </row>
    <row r="39" spans="1:7" x14ac:dyDescent="0.2">
      <c r="A39" s="31" t="s">
        <v>176</v>
      </c>
      <c r="B39" s="32">
        <v>1718168</v>
      </c>
      <c r="C39" s="33">
        <v>-17485.75</v>
      </c>
      <c r="D39" s="32">
        <v>1700682.25</v>
      </c>
      <c r="E39" s="32">
        <v>1664427.99</v>
      </c>
      <c r="F39" s="32">
        <v>1664427.99</v>
      </c>
      <c r="G39" s="30">
        <f t="shared" si="1"/>
        <v>36254.260000000009</v>
      </c>
    </row>
    <row r="40" spans="1:7" x14ac:dyDescent="0.2">
      <c r="A40" s="31" t="s">
        <v>177</v>
      </c>
      <c r="B40" s="32">
        <v>8863245.75</v>
      </c>
      <c r="C40" s="33">
        <v>809374.92</v>
      </c>
      <c r="D40" s="32">
        <v>9672620.6699999999</v>
      </c>
      <c r="E40" s="32">
        <v>9173201.9499999993</v>
      </c>
      <c r="F40" s="32">
        <v>9173201.9499999993</v>
      </c>
      <c r="G40" s="30">
        <f t="shared" si="1"/>
        <v>499418.72000000067</v>
      </c>
    </row>
    <row r="41" spans="1:7" x14ac:dyDescent="0.2">
      <c r="A41" s="31" t="s">
        <v>178</v>
      </c>
      <c r="B41" s="32">
        <v>2967877</v>
      </c>
      <c r="C41" s="33">
        <v>-46937.07</v>
      </c>
      <c r="D41" s="32">
        <v>2920939.93</v>
      </c>
      <c r="E41" s="32">
        <v>2852504.13</v>
      </c>
      <c r="F41" s="32">
        <v>2852504.13</v>
      </c>
      <c r="G41" s="30">
        <f t="shared" si="1"/>
        <v>68435.800000000279</v>
      </c>
    </row>
    <row r="42" spans="1:7" x14ac:dyDescent="0.2">
      <c r="A42" s="31" t="s">
        <v>179</v>
      </c>
      <c r="B42" s="32">
        <v>296175</v>
      </c>
      <c r="C42" s="33">
        <v>-9780.51</v>
      </c>
      <c r="D42" s="32">
        <v>286394.49</v>
      </c>
      <c r="E42" s="32">
        <v>282844.23</v>
      </c>
      <c r="F42" s="32">
        <v>282844.23</v>
      </c>
      <c r="G42" s="30">
        <f t="shared" si="1"/>
        <v>3550.2600000000093</v>
      </c>
    </row>
    <row r="43" spans="1:7" x14ac:dyDescent="0.2">
      <c r="A43" s="31" t="s">
        <v>180</v>
      </c>
      <c r="B43" s="32">
        <v>727643</v>
      </c>
      <c r="C43" s="33">
        <v>-8700</v>
      </c>
      <c r="D43" s="32">
        <v>718943</v>
      </c>
      <c r="E43" s="32">
        <v>674156.22</v>
      </c>
      <c r="F43" s="32">
        <v>674156.22</v>
      </c>
      <c r="G43" s="30">
        <f t="shared" si="1"/>
        <v>44786.780000000028</v>
      </c>
    </row>
    <row r="44" spans="1:7" x14ac:dyDescent="0.2">
      <c r="A44" s="31" t="s">
        <v>181</v>
      </c>
      <c r="B44" s="32">
        <v>624628</v>
      </c>
      <c r="C44" s="33">
        <v>0</v>
      </c>
      <c r="D44" s="32">
        <v>624628</v>
      </c>
      <c r="E44" s="32">
        <v>616378.51</v>
      </c>
      <c r="F44" s="32">
        <v>616378.51</v>
      </c>
      <c r="G44" s="30">
        <f t="shared" si="1"/>
        <v>8249.4899999999907</v>
      </c>
    </row>
    <row r="45" spans="1:7" x14ac:dyDescent="0.2">
      <c r="A45" s="31" t="s">
        <v>182</v>
      </c>
      <c r="B45" s="32">
        <v>1126900</v>
      </c>
      <c r="C45" s="33">
        <v>4067355.86</v>
      </c>
      <c r="D45" s="32">
        <v>5194255.8600000003</v>
      </c>
      <c r="E45" s="32">
        <v>5147694.2699999996</v>
      </c>
      <c r="F45" s="32">
        <v>5147694.2699999996</v>
      </c>
      <c r="G45" s="30">
        <f t="shared" si="1"/>
        <v>46561.590000000782</v>
      </c>
    </row>
    <row r="46" spans="1:7" x14ac:dyDescent="0.2">
      <c r="A46" s="31" t="s">
        <v>183</v>
      </c>
      <c r="B46" s="32">
        <v>55172</v>
      </c>
      <c r="C46" s="33">
        <v>-19971.03</v>
      </c>
      <c r="D46" s="32">
        <v>35200.97</v>
      </c>
      <c r="E46" s="32">
        <v>29266</v>
      </c>
      <c r="F46" s="32">
        <v>29266</v>
      </c>
      <c r="G46" s="30">
        <f t="shared" si="1"/>
        <v>5934.9700000000012</v>
      </c>
    </row>
    <row r="47" spans="1:7" x14ac:dyDescent="0.2">
      <c r="A47" s="31" t="s">
        <v>184</v>
      </c>
      <c r="B47" s="32">
        <v>307000</v>
      </c>
      <c r="C47" s="33">
        <v>-43098.31</v>
      </c>
      <c r="D47" s="32">
        <v>263901.69</v>
      </c>
      <c r="E47" s="32">
        <v>232811.86</v>
      </c>
      <c r="F47" s="32">
        <v>232811.86</v>
      </c>
      <c r="G47" s="30">
        <f t="shared" si="1"/>
        <v>31089.830000000016</v>
      </c>
    </row>
    <row r="48" spans="1:7" x14ac:dyDescent="0.2">
      <c r="A48" s="31" t="s">
        <v>185</v>
      </c>
      <c r="B48" s="32">
        <v>124100</v>
      </c>
      <c r="C48" s="33">
        <v>-22690.910000000003</v>
      </c>
      <c r="D48" s="32">
        <v>101409.09</v>
      </c>
      <c r="E48" s="32">
        <v>87356.47</v>
      </c>
      <c r="F48" s="32">
        <v>87356.47</v>
      </c>
      <c r="G48" s="30">
        <f t="shared" si="1"/>
        <v>14052.619999999995</v>
      </c>
    </row>
    <row r="49" spans="1:7" x14ac:dyDescent="0.2">
      <c r="A49" s="31" t="s">
        <v>186</v>
      </c>
      <c r="B49" s="32">
        <v>822407</v>
      </c>
      <c r="C49" s="33">
        <v>7994.0599999999977</v>
      </c>
      <c r="D49" s="32">
        <v>830401.06</v>
      </c>
      <c r="E49" s="32">
        <v>793570.04</v>
      </c>
      <c r="F49" s="32">
        <v>793570.04</v>
      </c>
      <c r="G49" s="30">
        <f t="shared" si="1"/>
        <v>36831.020000000019</v>
      </c>
    </row>
    <row r="50" spans="1:7" x14ac:dyDescent="0.2">
      <c r="A50" s="31" t="s">
        <v>187</v>
      </c>
      <c r="B50" s="32">
        <v>236739</v>
      </c>
      <c r="C50" s="33">
        <v>0</v>
      </c>
      <c r="D50" s="32">
        <v>236739</v>
      </c>
      <c r="E50" s="32">
        <v>228476.68</v>
      </c>
      <c r="F50" s="32">
        <v>228476.68</v>
      </c>
      <c r="G50" s="30">
        <f t="shared" si="1"/>
        <v>8262.320000000007</v>
      </c>
    </row>
    <row r="51" spans="1:7" x14ac:dyDescent="0.2">
      <c r="A51" s="31" t="s">
        <v>188</v>
      </c>
      <c r="B51" s="32">
        <v>2203860</v>
      </c>
      <c r="C51" s="33">
        <v>-91010.969999999972</v>
      </c>
      <c r="D51" s="32">
        <v>2112849.0299999998</v>
      </c>
      <c r="E51" s="32">
        <v>2056002.12</v>
      </c>
      <c r="F51" s="32">
        <v>2056002.12</v>
      </c>
      <c r="G51" s="30">
        <f t="shared" si="1"/>
        <v>56846.909999999683</v>
      </c>
    </row>
    <row r="52" spans="1:7" x14ac:dyDescent="0.2">
      <c r="A52" s="31" t="s">
        <v>189</v>
      </c>
      <c r="B52" s="32">
        <v>3775746</v>
      </c>
      <c r="C52" s="33">
        <v>-159950.01999999999</v>
      </c>
      <c r="D52" s="32">
        <v>3615795.98</v>
      </c>
      <c r="E52" s="32">
        <v>3418956.48</v>
      </c>
      <c r="F52" s="32">
        <v>3418956.48</v>
      </c>
      <c r="G52" s="30">
        <f t="shared" si="1"/>
        <v>196839.5</v>
      </c>
    </row>
    <row r="53" spans="1:7" x14ac:dyDescent="0.2">
      <c r="A53" s="31" t="s">
        <v>190</v>
      </c>
      <c r="B53" s="32">
        <v>488578</v>
      </c>
      <c r="C53" s="33">
        <v>0</v>
      </c>
      <c r="D53" s="32">
        <v>488578</v>
      </c>
      <c r="E53" s="32">
        <v>467254.98</v>
      </c>
      <c r="F53" s="32">
        <v>467254.98</v>
      </c>
      <c r="G53" s="30">
        <f t="shared" si="1"/>
        <v>21323.020000000019</v>
      </c>
    </row>
    <row r="54" spans="1:7" x14ac:dyDescent="0.2">
      <c r="A54" s="31" t="s">
        <v>191</v>
      </c>
      <c r="B54" s="32">
        <v>197735</v>
      </c>
      <c r="C54" s="33">
        <v>75950.01999999999</v>
      </c>
      <c r="D54" s="32">
        <v>273685.02</v>
      </c>
      <c r="E54" s="32">
        <v>256957.06</v>
      </c>
      <c r="F54" s="32">
        <v>256957.06</v>
      </c>
      <c r="G54" s="30">
        <f t="shared" si="1"/>
        <v>16727.960000000021</v>
      </c>
    </row>
    <row r="55" spans="1:7" x14ac:dyDescent="0.2">
      <c r="A55" s="31" t="s">
        <v>192</v>
      </c>
      <c r="B55" s="32">
        <v>10086346</v>
      </c>
      <c r="C55" s="33">
        <v>1067147.6000000003</v>
      </c>
      <c r="D55" s="32">
        <v>11153493.6</v>
      </c>
      <c r="E55" s="32">
        <v>10109171.23</v>
      </c>
      <c r="F55" s="32">
        <v>9993301.1799999997</v>
      </c>
      <c r="G55" s="30">
        <f t="shared" si="1"/>
        <v>1044322.3699999992</v>
      </c>
    </row>
    <row r="56" spans="1:7" x14ac:dyDescent="0.2">
      <c r="A56" s="31" t="s">
        <v>193</v>
      </c>
      <c r="B56" s="32">
        <v>1170849</v>
      </c>
      <c r="C56" s="33">
        <v>-127203.63</v>
      </c>
      <c r="D56" s="32">
        <v>1043645.37</v>
      </c>
      <c r="E56" s="32">
        <v>1042764.1</v>
      </c>
      <c r="F56" s="32">
        <v>1042764.1</v>
      </c>
      <c r="G56" s="30">
        <f t="shared" si="1"/>
        <v>881.27000000001863</v>
      </c>
    </row>
    <row r="57" spans="1:7" x14ac:dyDescent="0.2">
      <c r="A57" s="31" t="s">
        <v>194</v>
      </c>
      <c r="B57" s="32">
        <v>11322169</v>
      </c>
      <c r="C57" s="33">
        <v>441009.93000000017</v>
      </c>
      <c r="D57" s="32">
        <v>11763178.93</v>
      </c>
      <c r="E57" s="32">
        <v>11248425.130000001</v>
      </c>
      <c r="F57" s="32">
        <v>11248425.130000001</v>
      </c>
      <c r="G57" s="30">
        <f t="shared" si="1"/>
        <v>514753.79999999888</v>
      </c>
    </row>
    <row r="58" spans="1:7" x14ac:dyDescent="0.2">
      <c r="A58" s="31" t="s">
        <v>195</v>
      </c>
      <c r="B58" s="32">
        <v>1288292</v>
      </c>
      <c r="C58" s="33">
        <v>-36506.499999999993</v>
      </c>
      <c r="D58" s="32">
        <v>1251785.5</v>
      </c>
      <c r="E58" s="32">
        <v>1221593.5900000001</v>
      </c>
      <c r="F58" s="32">
        <v>1221593.5900000001</v>
      </c>
      <c r="G58" s="30">
        <f t="shared" si="1"/>
        <v>30191.909999999916</v>
      </c>
    </row>
    <row r="59" spans="1:7" x14ac:dyDescent="0.2">
      <c r="A59" s="31" t="s">
        <v>196</v>
      </c>
      <c r="B59" s="32">
        <v>2410568</v>
      </c>
      <c r="C59" s="33">
        <v>18000</v>
      </c>
      <c r="D59" s="32">
        <v>2428568</v>
      </c>
      <c r="E59" s="32">
        <v>2379079.6800000002</v>
      </c>
      <c r="F59" s="32">
        <v>2379079.6800000002</v>
      </c>
      <c r="G59" s="30">
        <f t="shared" si="1"/>
        <v>49488.319999999832</v>
      </c>
    </row>
    <row r="60" spans="1:7" x14ac:dyDescent="0.2">
      <c r="A60" s="31" t="s">
        <v>197</v>
      </c>
      <c r="B60" s="32">
        <v>589983</v>
      </c>
      <c r="C60" s="33">
        <v>0</v>
      </c>
      <c r="D60" s="32">
        <v>589983</v>
      </c>
      <c r="E60" s="32">
        <v>569835.73</v>
      </c>
      <c r="F60" s="32">
        <v>569835.73</v>
      </c>
      <c r="G60" s="30">
        <f t="shared" si="1"/>
        <v>20147.270000000019</v>
      </c>
    </row>
    <row r="61" spans="1:7" x14ac:dyDescent="0.2">
      <c r="A61" s="31" t="s">
        <v>198</v>
      </c>
      <c r="B61" s="32">
        <v>94875</v>
      </c>
      <c r="C61" s="33">
        <v>0</v>
      </c>
      <c r="D61" s="32">
        <v>94875</v>
      </c>
      <c r="E61" s="32">
        <v>91454</v>
      </c>
      <c r="F61" s="32">
        <v>91454</v>
      </c>
      <c r="G61" s="30">
        <f t="shared" si="1"/>
        <v>3421</v>
      </c>
    </row>
    <row r="62" spans="1:7" x14ac:dyDescent="0.2">
      <c r="A62" s="31" t="s">
        <v>199</v>
      </c>
      <c r="B62" s="32">
        <v>455997</v>
      </c>
      <c r="C62" s="33">
        <v>211600</v>
      </c>
      <c r="D62" s="32">
        <v>667597</v>
      </c>
      <c r="E62" s="32">
        <v>645016.02</v>
      </c>
      <c r="F62" s="32">
        <v>645016.02</v>
      </c>
      <c r="G62" s="30">
        <f t="shared" si="1"/>
        <v>22580.979999999981</v>
      </c>
    </row>
    <row r="63" spans="1:7" x14ac:dyDescent="0.2">
      <c r="A63" s="31" t="s">
        <v>200</v>
      </c>
      <c r="B63" s="32">
        <v>1247699</v>
      </c>
      <c r="C63" s="33">
        <v>-1208.8800000000001</v>
      </c>
      <c r="D63" s="32">
        <v>1246490.1200000001</v>
      </c>
      <c r="E63" s="32">
        <v>1232894.97</v>
      </c>
      <c r="F63" s="32">
        <v>1232894.97</v>
      </c>
      <c r="G63" s="30">
        <f t="shared" si="1"/>
        <v>13595.15000000014</v>
      </c>
    </row>
    <row r="64" spans="1:7" x14ac:dyDescent="0.2">
      <c r="A64" s="31" t="s">
        <v>201</v>
      </c>
      <c r="B64" s="33">
        <v>0</v>
      </c>
      <c r="C64" s="33">
        <v>100000</v>
      </c>
      <c r="D64" s="32">
        <v>100000</v>
      </c>
      <c r="E64" s="32">
        <v>11403</v>
      </c>
      <c r="F64" s="32">
        <v>11403</v>
      </c>
      <c r="G64" s="30">
        <f t="shared" si="1"/>
        <v>88597</v>
      </c>
    </row>
    <row r="65" spans="1:7" x14ac:dyDescent="0.2">
      <c r="A65" s="31" t="s">
        <v>202</v>
      </c>
      <c r="B65" s="33">
        <v>0</v>
      </c>
      <c r="C65" s="33">
        <v>226689.6</v>
      </c>
      <c r="D65" s="32">
        <v>226689.6</v>
      </c>
      <c r="E65" s="32">
        <v>191403.51999999999</v>
      </c>
      <c r="F65" s="32">
        <v>191403.51999999999</v>
      </c>
      <c r="G65" s="30">
        <f t="shared" si="1"/>
        <v>35286.080000000016</v>
      </c>
    </row>
    <row r="66" spans="1:7" ht="5.0999999999999996" customHeight="1" x14ac:dyDescent="0.2">
      <c r="A66" s="12"/>
      <c r="B66" s="2"/>
      <c r="C66" s="2"/>
      <c r="D66" s="2"/>
      <c r="E66" s="2"/>
      <c r="F66" s="2"/>
      <c r="G66" s="2"/>
    </row>
    <row r="67" spans="1:7" x14ac:dyDescent="0.2">
      <c r="A67" s="13" t="s">
        <v>90</v>
      </c>
      <c r="B67" s="2"/>
      <c r="C67" s="2"/>
      <c r="D67" s="2"/>
      <c r="E67" s="2"/>
      <c r="F67" s="2"/>
      <c r="G67" s="2"/>
    </row>
    <row r="68" spans="1:7" x14ac:dyDescent="0.2">
      <c r="A68" s="13" t="s">
        <v>91</v>
      </c>
      <c r="B68" s="1">
        <f>SUM(B69:B78)</f>
        <v>211022074.70999998</v>
      </c>
      <c r="C68" s="1">
        <f t="shared" ref="C68:G68" si="2">SUM(C69:C78)</f>
        <v>67315604.139999986</v>
      </c>
      <c r="D68" s="1">
        <f t="shared" si="2"/>
        <v>278337678.85000002</v>
      </c>
      <c r="E68" s="1">
        <f t="shared" si="2"/>
        <v>181555665.72</v>
      </c>
      <c r="F68" s="1">
        <f t="shared" si="2"/>
        <v>169055573.24000001</v>
      </c>
      <c r="G68" s="1">
        <f t="shared" si="2"/>
        <v>96782013.129999995</v>
      </c>
    </row>
    <row r="69" spans="1:7" x14ac:dyDescent="0.2">
      <c r="A69" s="31" t="s">
        <v>156</v>
      </c>
      <c r="B69" s="32">
        <v>16696817.92</v>
      </c>
      <c r="C69" s="32">
        <v>1168596.21</v>
      </c>
      <c r="D69" s="32">
        <v>17865414.129999999</v>
      </c>
      <c r="E69" s="32">
        <v>16860249.039999999</v>
      </c>
      <c r="F69" s="32">
        <v>16840340.039999999</v>
      </c>
      <c r="G69" s="30">
        <f t="shared" ref="G69:G78" si="3">D69-E69</f>
        <v>1005165.0899999999</v>
      </c>
    </row>
    <row r="70" spans="1:7" x14ac:dyDescent="0.2">
      <c r="A70" s="31" t="s">
        <v>167</v>
      </c>
      <c r="B70" s="32">
        <v>134263921.03999999</v>
      </c>
      <c r="C70" s="32">
        <v>49300869.549999982</v>
      </c>
      <c r="D70" s="32">
        <v>183564790.59</v>
      </c>
      <c r="E70" s="32">
        <v>94270249.150000006</v>
      </c>
      <c r="F70" s="32">
        <v>85187195.959999993</v>
      </c>
      <c r="G70" s="30">
        <f t="shared" si="3"/>
        <v>89294541.439999998</v>
      </c>
    </row>
    <row r="71" spans="1:7" x14ac:dyDescent="0.2">
      <c r="A71" s="31" t="s">
        <v>171</v>
      </c>
      <c r="B71" s="32">
        <v>2125235</v>
      </c>
      <c r="C71" s="32">
        <v>500000</v>
      </c>
      <c r="D71" s="32">
        <v>2625235</v>
      </c>
      <c r="E71" s="32">
        <v>2615359.88</v>
      </c>
      <c r="F71" s="32">
        <v>2615359.88</v>
      </c>
      <c r="G71" s="30">
        <f t="shared" si="3"/>
        <v>9875.1200000001118</v>
      </c>
    </row>
    <row r="72" spans="1:7" x14ac:dyDescent="0.2">
      <c r="A72" s="31" t="s">
        <v>177</v>
      </c>
      <c r="B72" s="33">
        <v>0</v>
      </c>
      <c r="C72" s="32">
        <v>4688001.49</v>
      </c>
      <c r="D72" s="32">
        <v>4688001.49</v>
      </c>
      <c r="E72" s="32">
        <v>4083760.61</v>
      </c>
      <c r="F72" s="32">
        <v>2401603.7599999998</v>
      </c>
      <c r="G72" s="30">
        <f t="shared" si="3"/>
        <v>604240.88000000035</v>
      </c>
    </row>
    <row r="73" spans="1:7" x14ac:dyDescent="0.2">
      <c r="A73" s="31" t="s">
        <v>181</v>
      </c>
      <c r="B73" s="33">
        <v>0</v>
      </c>
      <c r="C73" s="32">
        <v>200000</v>
      </c>
      <c r="D73" s="32">
        <v>200000</v>
      </c>
      <c r="E73" s="32">
        <v>194833.04</v>
      </c>
      <c r="F73" s="32">
        <v>194833.04</v>
      </c>
      <c r="G73" s="30">
        <f t="shared" si="3"/>
        <v>5166.9599999999919</v>
      </c>
    </row>
    <row r="74" spans="1:7" x14ac:dyDescent="0.2">
      <c r="A74" s="31" t="s">
        <v>182</v>
      </c>
      <c r="B74" s="32">
        <v>46852834.399999999</v>
      </c>
      <c r="C74" s="32">
        <v>11108787.369999999</v>
      </c>
      <c r="D74" s="32">
        <v>57961621.770000003</v>
      </c>
      <c r="E74" s="32">
        <v>52434323.869999997</v>
      </c>
      <c r="F74" s="32">
        <v>50797451.520000003</v>
      </c>
      <c r="G74" s="30">
        <f t="shared" si="3"/>
        <v>5527297.900000006</v>
      </c>
    </row>
    <row r="75" spans="1:7" x14ac:dyDescent="0.2">
      <c r="A75" s="31" t="s">
        <v>188</v>
      </c>
      <c r="B75" s="33">
        <v>0</v>
      </c>
      <c r="C75" s="32">
        <v>129999.85</v>
      </c>
      <c r="D75" s="32">
        <v>129999.85</v>
      </c>
      <c r="E75" s="32">
        <v>129999.85</v>
      </c>
      <c r="F75" s="32">
        <v>129999.85</v>
      </c>
      <c r="G75" s="30">
        <f t="shared" si="3"/>
        <v>0</v>
      </c>
    </row>
    <row r="76" spans="1:7" x14ac:dyDescent="0.2">
      <c r="A76" s="31" t="s">
        <v>192</v>
      </c>
      <c r="B76" s="32">
        <v>11083266.35</v>
      </c>
      <c r="C76" s="32">
        <v>-14395.440000000061</v>
      </c>
      <c r="D76" s="32">
        <v>11068870.91</v>
      </c>
      <c r="E76" s="32">
        <v>10955487.279999999</v>
      </c>
      <c r="F76" s="32">
        <v>10877386.189999999</v>
      </c>
      <c r="G76" s="30">
        <f t="shared" si="3"/>
        <v>113383.63000000082</v>
      </c>
    </row>
    <row r="77" spans="1:7" x14ac:dyDescent="0.2">
      <c r="A77" s="31" t="s">
        <v>201</v>
      </c>
      <c r="B77" s="33">
        <v>0</v>
      </c>
      <c r="C77" s="32">
        <v>20000</v>
      </c>
      <c r="D77" s="32">
        <v>20000</v>
      </c>
      <c r="E77" s="32">
        <v>11403</v>
      </c>
      <c r="F77" s="32">
        <v>11403</v>
      </c>
      <c r="G77" s="30">
        <f t="shared" si="3"/>
        <v>8597</v>
      </c>
    </row>
    <row r="78" spans="1:7" x14ac:dyDescent="0.2">
      <c r="A78" s="31" t="s">
        <v>202</v>
      </c>
      <c r="B78" s="33">
        <v>0</v>
      </c>
      <c r="C78" s="32">
        <v>213745.11</v>
      </c>
      <c r="D78" s="32">
        <v>213745.11</v>
      </c>
      <c r="E78" s="32">
        <v>0</v>
      </c>
      <c r="F78" s="33">
        <v>0</v>
      </c>
      <c r="G78" s="30">
        <f t="shared" si="3"/>
        <v>213745.11</v>
      </c>
    </row>
    <row r="79" spans="1:7" ht="5.0999999999999996" customHeight="1" x14ac:dyDescent="0.2">
      <c r="A79" s="14"/>
      <c r="B79" s="2"/>
      <c r="C79" s="2"/>
      <c r="D79" s="2"/>
      <c r="E79" s="2"/>
      <c r="F79" s="2"/>
      <c r="G79" s="2"/>
    </row>
    <row r="80" spans="1:7" x14ac:dyDescent="0.2">
      <c r="A80" s="11" t="s">
        <v>83</v>
      </c>
      <c r="B80" s="1">
        <f t="shared" ref="B80:G80" si="4">B5+B68</f>
        <v>382117055.64999998</v>
      </c>
      <c r="C80" s="1">
        <f t="shared" si="4"/>
        <v>74992403.559999987</v>
      </c>
      <c r="D80" s="1">
        <f t="shared" si="4"/>
        <v>457109459.21000004</v>
      </c>
      <c r="E80" s="1">
        <f t="shared" si="4"/>
        <v>346155401.04999995</v>
      </c>
      <c r="F80" s="1">
        <f t="shared" si="4"/>
        <v>331457827.20000005</v>
      </c>
      <c r="G80" s="1">
        <f t="shared" si="4"/>
        <v>110954058.16</v>
      </c>
    </row>
    <row r="81" spans="1:7" ht="5.0999999999999996" customHeight="1" x14ac:dyDescent="0.2">
      <c r="A81" s="15"/>
      <c r="B81" s="4"/>
      <c r="C81" s="4"/>
      <c r="D81" s="4"/>
      <c r="E81" s="4"/>
      <c r="F81" s="4"/>
      <c r="G81" s="4"/>
    </row>
    <row r="83" spans="1:7" s="42" customFormat="1" x14ac:dyDescent="0.2">
      <c r="A83" s="38"/>
      <c r="B83" s="39"/>
      <c r="C83" s="39"/>
      <c r="D83" s="39"/>
      <c r="E83" s="40"/>
      <c r="F83" s="41"/>
    </row>
    <row r="84" spans="1:7" s="46" customFormat="1" x14ac:dyDescent="0.2">
      <c r="A84" s="43"/>
      <c r="B84" s="44"/>
      <c r="C84" s="44"/>
      <c r="D84" s="45"/>
      <c r="E84" s="43"/>
    </row>
    <row r="85" spans="1:7" s="46" customFormat="1" x14ac:dyDescent="0.2">
      <c r="A85" s="43"/>
      <c r="B85" s="44"/>
      <c r="C85" s="44"/>
      <c r="D85" s="45"/>
      <c r="E85" s="43"/>
    </row>
    <row r="86" spans="1:7" s="46" customFormat="1" x14ac:dyDescent="0.2">
      <c r="A86" s="43"/>
      <c r="B86" s="44"/>
      <c r="C86" s="44"/>
      <c r="D86" s="45"/>
      <c r="E86" s="43"/>
    </row>
    <row r="87" spans="1:7" s="46" customFormat="1" x14ac:dyDescent="0.2">
      <c r="A87" s="43"/>
      <c r="B87" s="44"/>
      <c r="C87" s="44"/>
      <c r="D87" s="45"/>
      <c r="E87" s="43"/>
    </row>
    <row r="88" spans="1:7" s="46" customFormat="1" x14ac:dyDescent="0.2">
      <c r="A88" s="43"/>
      <c r="B88" s="44"/>
      <c r="C88" s="44"/>
      <c r="D88" s="45"/>
      <c r="E88" s="43"/>
    </row>
    <row r="89" spans="1:7" s="46" customFormat="1" x14ac:dyDescent="0.2">
      <c r="A89" s="43"/>
      <c r="B89" s="44"/>
      <c r="C89" s="44"/>
      <c r="D89" s="45"/>
      <c r="E89" s="43"/>
    </row>
    <row r="90" spans="1:7" s="46" customFormat="1" x14ac:dyDescent="0.2">
      <c r="A90" s="43"/>
      <c r="B90" s="44"/>
      <c r="C90" s="44"/>
      <c r="D90" s="45"/>
      <c r="E90" s="43"/>
    </row>
    <row r="91" spans="1:7" s="46" customFormat="1" x14ac:dyDescent="0.2">
      <c r="A91" s="43"/>
      <c r="B91" s="44"/>
      <c r="C91" s="44"/>
      <c r="D91" s="45"/>
      <c r="E91" s="4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selection activeCell="N9" sqref="N9"/>
    </sheetView>
  </sheetViews>
  <sheetFormatPr baseColWidth="10" defaultRowHeight="11.25" x14ac:dyDescent="0.2"/>
  <cols>
    <col min="1" max="1" width="65.83203125" style="5" customWidth="1"/>
    <col min="2" max="7" width="17.83203125" style="5" customWidth="1"/>
    <col min="8" max="8" width="12" style="5"/>
    <col min="9" max="9" width="15" style="5" bestFit="1" customWidth="1"/>
    <col min="10" max="10" width="12" style="5"/>
    <col min="11" max="11" width="15.33203125" style="5" bestFit="1" customWidth="1"/>
    <col min="12" max="12" width="16.83203125" style="5" customWidth="1"/>
    <col min="13" max="16384" width="12" style="5"/>
  </cols>
  <sheetData>
    <row r="1" spans="1:12" ht="57" customHeight="1" x14ac:dyDescent="0.2">
      <c r="A1" s="74" t="s">
        <v>142</v>
      </c>
      <c r="B1" s="79"/>
      <c r="C1" s="79"/>
      <c r="D1" s="79"/>
      <c r="E1" s="79"/>
      <c r="F1" s="79"/>
      <c r="G1" s="80"/>
    </row>
    <row r="2" spans="1:12" ht="12" customHeight="1" x14ac:dyDescent="0.2">
      <c r="A2" s="16"/>
      <c r="B2" s="78" t="s">
        <v>0</v>
      </c>
      <c r="C2" s="78"/>
      <c r="D2" s="78"/>
      <c r="E2" s="78"/>
      <c r="F2" s="78"/>
      <c r="G2" s="6"/>
    </row>
    <row r="3" spans="1:12" ht="22.5" x14ac:dyDescent="0.2">
      <c r="A3" s="1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86</v>
      </c>
      <c r="G3" s="7" t="s">
        <v>7</v>
      </c>
    </row>
    <row r="4" spans="1:12" s="49" customFormat="1" ht="5.0999999999999996" customHeight="1" x14ac:dyDescent="0.2">
      <c r="A4" s="47"/>
      <c r="B4" s="48"/>
      <c r="C4" s="48"/>
      <c r="D4" s="48"/>
      <c r="E4" s="48"/>
      <c r="F4" s="48"/>
      <c r="G4" s="48"/>
    </row>
    <row r="5" spans="1:12" s="49" customFormat="1" x14ac:dyDescent="0.2">
      <c r="A5" s="50" t="s">
        <v>92</v>
      </c>
      <c r="B5" s="35">
        <f>B6+B16+B25+B36</f>
        <v>171094980.94</v>
      </c>
      <c r="C5" s="35">
        <f>C6+C16+C25+C36</f>
        <v>7676799.4200000018</v>
      </c>
      <c r="D5" s="35">
        <f t="shared" ref="D5:G5" si="0">D6+D16+D25+D36</f>
        <v>178771780.36000001</v>
      </c>
      <c r="E5" s="35">
        <f t="shared" si="0"/>
        <v>164599735.32999998</v>
      </c>
      <c r="F5" s="35">
        <f>F6+F16+F25+F36</f>
        <v>162402253.95999998</v>
      </c>
      <c r="G5" s="35">
        <f t="shared" si="0"/>
        <v>14172045.030000011</v>
      </c>
      <c r="K5" s="51"/>
      <c r="L5" s="52"/>
    </row>
    <row r="6" spans="1:12" s="49" customFormat="1" x14ac:dyDescent="0.2">
      <c r="A6" s="34" t="s">
        <v>93</v>
      </c>
      <c r="B6" s="35">
        <f>SUM(B7:B14)</f>
        <v>101249628.25</v>
      </c>
      <c r="C6" s="35">
        <f t="shared" ref="C6:G6" si="1">SUM(C7:C14)</f>
        <v>-2477653.9599999986</v>
      </c>
      <c r="D6" s="35">
        <f t="shared" si="1"/>
        <v>98771974.290000007</v>
      </c>
      <c r="E6" s="35">
        <f t="shared" si="1"/>
        <v>91394161.890000001</v>
      </c>
      <c r="F6" s="35">
        <f t="shared" si="1"/>
        <v>89329415.790000007</v>
      </c>
      <c r="G6" s="35">
        <f t="shared" si="1"/>
        <v>7377812.3999999994</v>
      </c>
    </row>
    <row r="7" spans="1:12" s="49" customFormat="1" x14ac:dyDescent="0.2">
      <c r="A7" s="37" t="s">
        <v>94</v>
      </c>
      <c r="B7" s="28">
        <v>9887020</v>
      </c>
      <c r="C7" s="28">
        <v>920000</v>
      </c>
      <c r="D7" s="28">
        <v>10807020</v>
      </c>
      <c r="E7" s="28">
        <v>10644056.440000001</v>
      </c>
      <c r="F7" s="28">
        <v>10570862.34</v>
      </c>
      <c r="G7" s="30">
        <f>D7-E7</f>
        <v>162963.55999999866</v>
      </c>
    </row>
    <row r="8" spans="1:12" s="49" customFormat="1" x14ac:dyDescent="0.2">
      <c r="A8" s="37" t="s">
        <v>95</v>
      </c>
      <c r="B8" s="28">
        <v>423261</v>
      </c>
      <c r="C8" s="28">
        <v>-1776.7800000000002</v>
      </c>
      <c r="D8" s="28">
        <v>421484.22</v>
      </c>
      <c r="E8" s="28">
        <v>417937.69</v>
      </c>
      <c r="F8" s="28">
        <v>417937.69</v>
      </c>
      <c r="G8" s="30">
        <f t="shared" ref="G8:G71" si="2">D8-E8</f>
        <v>3546.5299999999697</v>
      </c>
    </row>
    <row r="9" spans="1:12" s="49" customFormat="1" x14ac:dyDescent="0.2">
      <c r="A9" s="37" t="s">
        <v>96</v>
      </c>
      <c r="B9" s="28">
        <f>28794755+30000</f>
        <v>28824755</v>
      </c>
      <c r="C9" s="28">
        <f>503043.05+30000</f>
        <v>533043.05000000005</v>
      </c>
      <c r="D9" s="28">
        <f>29297798.05+60000</f>
        <v>29357798.050000001</v>
      </c>
      <c r="E9" s="28">
        <f>27110729.84+27407.54</f>
        <v>27138137.379999999</v>
      </c>
      <c r="F9" s="28">
        <f>26994859.79+27407.54</f>
        <v>27022267.329999998</v>
      </c>
      <c r="G9" s="30">
        <f>D9-E9</f>
        <v>2219660.6700000018</v>
      </c>
    </row>
    <row r="10" spans="1:12" s="49" customFormat="1" x14ac:dyDescent="0.2">
      <c r="A10" s="37" t="s">
        <v>97</v>
      </c>
      <c r="B10" s="29">
        <v>0</v>
      </c>
      <c r="C10" s="29">
        <v>0</v>
      </c>
      <c r="D10" s="29">
        <v>0</v>
      </c>
      <c r="E10" s="28">
        <v>0</v>
      </c>
      <c r="F10" s="29">
        <v>0</v>
      </c>
      <c r="G10" s="30">
        <f t="shared" si="2"/>
        <v>0</v>
      </c>
    </row>
    <row r="11" spans="1:12" s="49" customFormat="1" x14ac:dyDescent="0.2">
      <c r="A11" s="37" t="s">
        <v>98</v>
      </c>
      <c r="B11" s="28">
        <v>46176553.25</v>
      </c>
      <c r="C11" s="28">
        <v>-8904778.9999999981</v>
      </c>
      <c r="D11" s="28">
        <v>37271774.25</v>
      </c>
      <c r="E11" s="28">
        <v>33169867.800000001</v>
      </c>
      <c r="F11" s="28">
        <v>31301665.850000001</v>
      </c>
      <c r="G11" s="30">
        <f t="shared" si="2"/>
        <v>4101906.4499999993</v>
      </c>
    </row>
    <row r="12" spans="1:12" s="49" customFormat="1" x14ac:dyDescent="0.2">
      <c r="A12" s="37" t="s">
        <v>99</v>
      </c>
      <c r="B12" s="29">
        <v>1889172</v>
      </c>
      <c r="C12" s="29">
        <v>3861595.61</v>
      </c>
      <c r="D12" s="29">
        <v>5750767.6100000003</v>
      </c>
      <c r="E12" s="28">
        <v>5637128.5999999996</v>
      </c>
      <c r="F12" s="29">
        <v>5637128.5999999996</v>
      </c>
      <c r="G12" s="30">
        <f t="shared" si="2"/>
        <v>113639.01000000071</v>
      </c>
    </row>
    <row r="13" spans="1:12" s="49" customFormat="1" x14ac:dyDescent="0.2">
      <c r="A13" s="37" t="s">
        <v>100</v>
      </c>
      <c r="B13" s="28"/>
      <c r="C13" s="28"/>
      <c r="D13" s="28"/>
      <c r="E13" s="28"/>
      <c r="F13" s="28"/>
      <c r="G13" s="30">
        <f t="shared" si="2"/>
        <v>0</v>
      </c>
    </row>
    <row r="14" spans="1:12" s="49" customFormat="1" x14ac:dyDescent="0.2">
      <c r="A14" s="37" t="s">
        <v>101</v>
      </c>
      <c r="B14" s="28">
        <v>14048867</v>
      </c>
      <c r="C14" s="28">
        <v>1114263.1600000001</v>
      </c>
      <c r="D14" s="28">
        <v>15163130.16</v>
      </c>
      <c r="E14" s="28">
        <v>14387033.98</v>
      </c>
      <c r="F14" s="28">
        <v>14379553.98</v>
      </c>
      <c r="G14" s="30">
        <f t="shared" si="2"/>
        <v>776096.1799999997</v>
      </c>
    </row>
    <row r="15" spans="1:12" s="49" customFormat="1" ht="5.0999999999999996" customHeight="1" x14ac:dyDescent="0.2">
      <c r="A15" s="34"/>
      <c r="B15" s="35"/>
      <c r="C15" s="35"/>
      <c r="D15" s="35"/>
      <c r="E15" s="35"/>
      <c r="F15" s="35"/>
      <c r="G15" s="35"/>
    </row>
    <row r="16" spans="1:12" s="49" customFormat="1" x14ac:dyDescent="0.2">
      <c r="A16" s="34" t="s">
        <v>102</v>
      </c>
      <c r="B16" s="35">
        <f>SUM(B17:B23)</f>
        <v>64892417.689999998</v>
      </c>
      <c r="C16" s="35">
        <f t="shared" ref="C16:F16" si="3">SUM(C17:C23)</f>
        <v>9732323.9800000004</v>
      </c>
      <c r="D16" s="35">
        <f t="shared" si="3"/>
        <v>74624741.670000002</v>
      </c>
      <c r="E16" s="35">
        <f t="shared" si="3"/>
        <v>68212632.86999999</v>
      </c>
      <c r="F16" s="35">
        <f t="shared" si="3"/>
        <v>68079897.599999994</v>
      </c>
      <c r="G16" s="35">
        <f t="shared" si="2"/>
        <v>6412108.8000000119</v>
      </c>
    </row>
    <row r="17" spans="1:7" s="49" customFormat="1" x14ac:dyDescent="0.2">
      <c r="A17" s="37" t="s">
        <v>103</v>
      </c>
      <c r="B17" s="28">
        <v>8344470</v>
      </c>
      <c r="C17" s="28">
        <v>-101224.46</v>
      </c>
      <c r="D17" s="28">
        <v>8243245.54</v>
      </c>
      <c r="E17" s="28">
        <v>8103250.8899999997</v>
      </c>
      <c r="F17" s="28">
        <v>8103250.8899999997</v>
      </c>
      <c r="G17" s="30">
        <f t="shared" si="2"/>
        <v>139994.65000000037</v>
      </c>
    </row>
    <row r="18" spans="1:7" s="49" customFormat="1" x14ac:dyDescent="0.2">
      <c r="A18" s="37" t="s">
        <v>104</v>
      </c>
      <c r="B18" s="28">
        <f>38366284.75+281265.9+183700.85+682564.19</f>
        <v>39513815.689999998</v>
      </c>
      <c r="C18" s="28">
        <f>5717664.03-281265.9-183700.85+3656831.38+104625</f>
        <v>9014153.6600000001</v>
      </c>
      <c r="D18" s="28">
        <f>44083948.78+281265.9+183700.85+682564.19-281265.9-183700.85+3656831.38+104625</f>
        <v>48527969.350000001</v>
      </c>
      <c r="E18" s="28">
        <f>41822436.82+187603.6+919224.69+91980.63+164900</f>
        <v>43186145.740000002</v>
      </c>
      <c r="F18" s="28">
        <f>41706064.29+187603.6+919224.69+164900+91980.63</f>
        <v>43069773.210000001</v>
      </c>
      <c r="G18" s="30">
        <f t="shared" si="2"/>
        <v>5341823.6099999994</v>
      </c>
    </row>
    <row r="19" spans="1:7" s="49" customFormat="1" x14ac:dyDescent="0.2">
      <c r="A19" s="37" t="s">
        <v>105</v>
      </c>
      <c r="B19" s="28">
        <v>446175</v>
      </c>
      <c r="C19" s="28">
        <v>-49780.51</v>
      </c>
      <c r="D19" s="28">
        <v>396394.49</v>
      </c>
      <c r="E19" s="28">
        <v>392844.23</v>
      </c>
      <c r="F19" s="28">
        <v>392844.23</v>
      </c>
      <c r="G19" s="30">
        <f t="shared" si="2"/>
        <v>3550.2600000000093</v>
      </c>
    </row>
    <row r="20" spans="1:7" s="49" customFormat="1" x14ac:dyDescent="0.2">
      <c r="A20" s="37" t="s">
        <v>106</v>
      </c>
      <c r="B20" s="28">
        <v>7412383</v>
      </c>
      <c r="C20" s="28">
        <v>875125.30999999994</v>
      </c>
      <c r="D20" s="28">
        <v>8287508.3100000005</v>
      </c>
      <c r="E20" s="28">
        <v>7629900.04</v>
      </c>
      <c r="F20" s="28">
        <v>7629900.04</v>
      </c>
      <c r="G20" s="30">
        <f t="shared" si="2"/>
        <v>657608.27000000048</v>
      </c>
    </row>
    <row r="21" spans="1:7" s="49" customFormat="1" x14ac:dyDescent="0.2">
      <c r="A21" s="37" t="s">
        <v>107</v>
      </c>
      <c r="B21" s="28">
        <v>3775746</v>
      </c>
      <c r="C21" s="28">
        <v>-159950.01999999999</v>
      </c>
      <c r="D21" s="28">
        <v>3615795.98</v>
      </c>
      <c r="E21" s="28">
        <v>3418956.48</v>
      </c>
      <c r="F21" s="28">
        <v>3418956.48</v>
      </c>
      <c r="G21" s="30">
        <f t="shared" si="2"/>
        <v>196839.5</v>
      </c>
    </row>
    <row r="22" spans="1:7" s="49" customFormat="1" x14ac:dyDescent="0.2">
      <c r="A22" s="37" t="s">
        <v>108</v>
      </c>
      <c r="B22" s="29">
        <v>5399828</v>
      </c>
      <c r="C22" s="28">
        <v>154000</v>
      </c>
      <c r="D22" s="28">
        <v>5553828</v>
      </c>
      <c r="E22" s="28">
        <v>5481535.4900000002</v>
      </c>
      <c r="F22" s="28">
        <v>5465172.75</v>
      </c>
      <c r="G22" s="30">
        <f t="shared" si="2"/>
        <v>72292.509999999776</v>
      </c>
    </row>
    <row r="23" spans="1:7" s="49" customFormat="1" x14ac:dyDescent="0.2">
      <c r="A23" s="37" t="s">
        <v>109</v>
      </c>
      <c r="B23" s="30"/>
      <c r="C23" s="30"/>
      <c r="D23" s="30"/>
      <c r="E23" s="30"/>
      <c r="F23" s="30"/>
      <c r="G23" s="30">
        <f t="shared" si="2"/>
        <v>0</v>
      </c>
    </row>
    <row r="24" spans="1:7" s="49" customFormat="1" ht="5.0999999999999996" customHeight="1" x14ac:dyDescent="0.2">
      <c r="A24" s="34"/>
      <c r="B24" s="35"/>
      <c r="C24" s="35"/>
      <c r="D24" s="35"/>
      <c r="E24" s="35"/>
      <c r="F24" s="35"/>
      <c r="G24" s="35"/>
    </row>
    <row r="25" spans="1:7" s="49" customFormat="1" x14ac:dyDescent="0.2">
      <c r="A25" s="34" t="s">
        <v>110</v>
      </c>
      <c r="B25" s="35">
        <f>SUM(B26:B34)</f>
        <v>4952935</v>
      </c>
      <c r="C25" s="35">
        <f t="shared" ref="C25:F25" si="4">SUM(C26:C34)</f>
        <v>422129.4</v>
      </c>
      <c r="D25" s="35">
        <f t="shared" si="4"/>
        <v>5375064.4000000004</v>
      </c>
      <c r="E25" s="35">
        <f t="shared" si="4"/>
        <v>4992940.57</v>
      </c>
      <c r="F25" s="35">
        <f t="shared" si="4"/>
        <v>4992940.57</v>
      </c>
      <c r="G25" s="35">
        <f t="shared" si="2"/>
        <v>382123.83000000007</v>
      </c>
    </row>
    <row r="26" spans="1:7" s="49" customFormat="1" x14ac:dyDescent="0.2">
      <c r="A26" s="37" t="s">
        <v>111</v>
      </c>
      <c r="B26" s="28">
        <v>4460938</v>
      </c>
      <c r="C26" s="28">
        <v>-20683.059999999998</v>
      </c>
      <c r="D26" s="28">
        <v>4440254.9400000004</v>
      </c>
      <c r="E26" s="28">
        <v>4340692.6399999997</v>
      </c>
      <c r="F26" s="28">
        <v>4340692.6399999997</v>
      </c>
      <c r="G26" s="30">
        <f t="shared" si="2"/>
        <v>99562.300000000745</v>
      </c>
    </row>
    <row r="27" spans="1:7" s="49" customFormat="1" x14ac:dyDescent="0.2">
      <c r="A27" s="37" t="s">
        <v>112</v>
      </c>
      <c r="B27" s="28">
        <v>36000</v>
      </c>
      <c r="C27" s="28">
        <f>131212.46+100000</f>
        <v>231212.46</v>
      </c>
      <c r="D27" s="28">
        <f>167212.46+100000</f>
        <v>267212.45999999996</v>
      </c>
      <c r="E27" s="28">
        <f>3745.61+3486.3</f>
        <v>7231.91</v>
      </c>
      <c r="F27" s="28">
        <f>3745.61+3486.3</f>
        <v>7231.91</v>
      </c>
      <c r="G27" s="30">
        <f>D27-E27</f>
        <v>259980.54999999996</v>
      </c>
    </row>
    <row r="28" spans="1:7" s="49" customFormat="1" x14ac:dyDescent="0.2">
      <c r="A28" s="37" t="s">
        <v>113</v>
      </c>
      <c r="B28" s="29"/>
      <c r="C28" s="29"/>
      <c r="D28" s="29"/>
      <c r="E28" s="28"/>
      <c r="F28" s="29"/>
      <c r="G28" s="30">
        <f t="shared" si="2"/>
        <v>0</v>
      </c>
    </row>
    <row r="29" spans="1:7" s="49" customFormat="1" x14ac:dyDescent="0.2">
      <c r="A29" s="37" t="s">
        <v>114</v>
      </c>
      <c r="B29" s="29"/>
      <c r="C29" s="29"/>
      <c r="D29" s="29"/>
      <c r="E29" s="28"/>
      <c r="F29" s="29"/>
      <c r="G29" s="30">
        <f t="shared" si="2"/>
        <v>0</v>
      </c>
    </row>
    <row r="30" spans="1:7" s="49" customFormat="1" x14ac:dyDescent="0.2">
      <c r="A30" s="37" t="s">
        <v>115</v>
      </c>
      <c r="B30" s="29"/>
      <c r="C30" s="28"/>
      <c r="D30" s="28"/>
      <c r="E30" s="28"/>
      <c r="F30" s="29"/>
      <c r="G30" s="30">
        <f t="shared" si="2"/>
        <v>0</v>
      </c>
    </row>
    <row r="31" spans="1:7" s="49" customFormat="1" x14ac:dyDescent="0.2">
      <c r="A31" s="37" t="s">
        <v>116</v>
      </c>
      <c r="B31" s="29"/>
      <c r="C31" s="29"/>
      <c r="D31" s="29"/>
      <c r="E31" s="28"/>
      <c r="F31" s="29"/>
      <c r="G31" s="30">
        <f t="shared" si="2"/>
        <v>0</v>
      </c>
    </row>
    <row r="32" spans="1:7" s="49" customFormat="1" x14ac:dyDescent="0.2">
      <c r="A32" s="37" t="s">
        <v>117</v>
      </c>
      <c r="B32" s="28">
        <v>455997</v>
      </c>
      <c r="C32" s="28">
        <v>211600</v>
      </c>
      <c r="D32" s="28">
        <v>667597</v>
      </c>
      <c r="E32" s="28">
        <v>645016.02</v>
      </c>
      <c r="F32" s="28">
        <v>645016.02</v>
      </c>
      <c r="G32" s="30">
        <f t="shared" si="2"/>
        <v>22580.979999999981</v>
      </c>
    </row>
    <row r="33" spans="1:11" s="49" customFormat="1" x14ac:dyDescent="0.2">
      <c r="A33" s="37" t="s">
        <v>118</v>
      </c>
      <c r="B33" s="29">
        <v>0</v>
      </c>
      <c r="C33" s="29">
        <v>0</v>
      </c>
      <c r="D33" s="29">
        <v>0</v>
      </c>
      <c r="E33" s="28">
        <v>0</v>
      </c>
      <c r="F33" s="29">
        <v>0</v>
      </c>
      <c r="G33" s="30">
        <f t="shared" si="2"/>
        <v>0</v>
      </c>
    </row>
    <row r="34" spans="1:11" s="49" customFormat="1" x14ac:dyDescent="0.2">
      <c r="A34" s="37" t="s">
        <v>119</v>
      </c>
      <c r="B34" s="29">
        <v>0</v>
      </c>
      <c r="C34" s="29">
        <v>0</v>
      </c>
      <c r="D34" s="29">
        <v>0</v>
      </c>
      <c r="E34" s="28">
        <v>0</v>
      </c>
      <c r="F34" s="29">
        <v>0</v>
      </c>
      <c r="G34" s="30">
        <f t="shared" si="2"/>
        <v>0</v>
      </c>
    </row>
    <row r="35" spans="1:11" s="49" customFormat="1" ht="5.0999999999999996" customHeight="1" x14ac:dyDescent="0.2">
      <c r="A35" s="34"/>
      <c r="B35" s="35"/>
      <c r="C35" s="35"/>
      <c r="D35" s="35"/>
      <c r="E35" s="35"/>
      <c r="F35" s="35"/>
      <c r="G35" s="35"/>
    </row>
    <row r="36" spans="1:11" s="49" customFormat="1" x14ac:dyDescent="0.2">
      <c r="A36" s="50" t="s">
        <v>120</v>
      </c>
      <c r="B36" s="35">
        <f>SUM(B37:B40)</f>
        <v>0</v>
      </c>
      <c r="C36" s="35">
        <f t="shared" ref="C36:F36" si="5">SUM(C37:C40)</f>
        <v>0</v>
      </c>
      <c r="D36" s="35">
        <f t="shared" si="5"/>
        <v>0</v>
      </c>
      <c r="E36" s="35">
        <f t="shared" si="5"/>
        <v>0</v>
      </c>
      <c r="F36" s="35">
        <f t="shared" si="5"/>
        <v>0</v>
      </c>
      <c r="G36" s="35">
        <f t="shared" si="2"/>
        <v>0</v>
      </c>
    </row>
    <row r="37" spans="1:11" s="49" customFormat="1" x14ac:dyDescent="0.2">
      <c r="A37" s="37" t="s">
        <v>121</v>
      </c>
      <c r="B37" s="30"/>
      <c r="C37" s="30"/>
      <c r="D37" s="30"/>
      <c r="E37" s="30"/>
      <c r="F37" s="30"/>
      <c r="G37" s="30">
        <f t="shared" si="2"/>
        <v>0</v>
      </c>
    </row>
    <row r="38" spans="1:11" s="49" customFormat="1" ht="22.5" x14ac:dyDescent="0.2">
      <c r="A38" s="53" t="s">
        <v>122</v>
      </c>
      <c r="B38" s="30"/>
      <c r="C38" s="30"/>
      <c r="D38" s="30"/>
      <c r="E38" s="30"/>
      <c r="F38" s="30"/>
      <c r="G38" s="30">
        <f t="shared" si="2"/>
        <v>0</v>
      </c>
    </row>
    <row r="39" spans="1:11" s="49" customFormat="1" x14ac:dyDescent="0.2">
      <c r="A39" s="37" t="s">
        <v>123</v>
      </c>
      <c r="B39" s="30"/>
      <c r="C39" s="30"/>
      <c r="D39" s="30"/>
      <c r="E39" s="30"/>
      <c r="F39" s="30"/>
      <c r="G39" s="30">
        <f t="shared" si="2"/>
        <v>0</v>
      </c>
    </row>
    <row r="40" spans="1:11" s="49" customFormat="1" x14ac:dyDescent="0.2">
      <c r="A40" s="37" t="s">
        <v>124</v>
      </c>
      <c r="B40" s="30"/>
      <c r="C40" s="30"/>
      <c r="D40" s="30"/>
      <c r="E40" s="30"/>
      <c r="F40" s="30"/>
      <c r="G40" s="30">
        <f t="shared" si="2"/>
        <v>0</v>
      </c>
    </row>
    <row r="41" spans="1:11" s="49" customFormat="1" ht="5.0999999999999996" customHeight="1" x14ac:dyDescent="0.2">
      <c r="A41" s="34"/>
      <c r="B41" s="35"/>
      <c r="C41" s="35"/>
      <c r="D41" s="35"/>
      <c r="E41" s="35"/>
      <c r="F41" s="35"/>
      <c r="G41" s="35"/>
    </row>
    <row r="42" spans="1:11" s="49" customFormat="1" x14ac:dyDescent="0.2">
      <c r="A42" s="34" t="s">
        <v>125</v>
      </c>
      <c r="B42" s="35">
        <f>B43+B53+B62+B73</f>
        <v>211022074.70999998</v>
      </c>
      <c r="C42" s="35">
        <f t="shared" ref="C42:F42" si="6">C43+C53+C62+C73</f>
        <v>67210979.139999986</v>
      </c>
      <c r="D42" s="35">
        <f t="shared" si="6"/>
        <v>278337678.84999996</v>
      </c>
      <c r="E42" s="35">
        <f>E43+E53+E62+E73</f>
        <v>181555665.72000003</v>
      </c>
      <c r="F42" s="35">
        <f t="shared" si="6"/>
        <v>169055573.23999998</v>
      </c>
      <c r="G42" s="35">
        <f t="shared" si="2"/>
        <v>96782013.129999936</v>
      </c>
      <c r="I42" s="51"/>
      <c r="K42" s="52"/>
    </row>
    <row r="43" spans="1:11" s="49" customFormat="1" x14ac:dyDescent="0.2">
      <c r="A43" s="34" t="s">
        <v>93</v>
      </c>
      <c r="B43" s="35">
        <f>SUM(B44:B51)</f>
        <v>72985382.319999993</v>
      </c>
      <c r="C43" s="35">
        <f t="shared" ref="C43:F43" si="7">SUM(C44:C51)</f>
        <v>12886999.199999999</v>
      </c>
      <c r="D43" s="35">
        <f t="shared" si="7"/>
        <v>85872381.519999996</v>
      </c>
      <c r="E43" s="35">
        <f t="shared" si="7"/>
        <v>78449993.639999986</v>
      </c>
      <c r="F43" s="35">
        <f t="shared" si="7"/>
        <v>76735020.199999988</v>
      </c>
      <c r="G43" s="35">
        <f t="shared" si="2"/>
        <v>7422387.8800000101</v>
      </c>
    </row>
    <row r="44" spans="1:11" s="49" customFormat="1" x14ac:dyDescent="0.2">
      <c r="A44" s="37" t="s">
        <v>94</v>
      </c>
      <c r="B44" s="54">
        <v>0</v>
      </c>
      <c r="C44" s="55">
        <v>0</v>
      </c>
      <c r="D44" s="55">
        <v>0</v>
      </c>
      <c r="E44" s="56">
        <v>0</v>
      </c>
      <c r="F44" s="55">
        <v>0</v>
      </c>
      <c r="G44" s="30">
        <f t="shared" si="2"/>
        <v>0</v>
      </c>
    </row>
    <row r="45" spans="1:11" s="49" customFormat="1" x14ac:dyDescent="0.2">
      <c r="A45" s="37" t="s">
        <v>95</v>
      </c>
      <c r="B45" s="54">
        <v>0</v>
      </c>
      <c r="C45" s="55">
        <v>0</v>
      </c>
      <c r="D45" s="55">
        <v>0</v>
      </c>
      <c r="E45" s="56">
        <v>0</v>
      </c>
      <c r="F45" s="55">
        <v>0</v>
      </c>
      <c r="G45" s="30">
        <f t="shared" si="2"/>
        <v>0</v>
      </c>
    </row>
    <row r="46" spans="1:11" s="49" customFormat="1" x14ac:dyDescent="0.2">
      <c r="A46" s="37" t="s">
        <v>96</v>
      </c>
      <c r="B46" s="54">
        <f>11151665.2-30000</f>
        <v>11121665.199999999</v>
      </c>
      <c r="C46" s="55">
        <f>1248302.45-30000</f>
        <v>1218302.45</v>
      </c>
      <c r="D46" s="55">
        <f>12399967.65-60000</f>
        <v>12339967.65</v>
      </c>
      <c r="E46" s="56">
        <f>11207094.67-27407.54</f>
        <v>11179687.130000001</v>
      </c>
      <c r="F46" s="55">
        <f>11128993.58-27407.54</f>
        <v>11101586.040000001</v>
      </c>
      <c r="G46" s="30">
        <f t="shared" si="2"/>
        <v>1160280.5199999996</v>
      </c>
    </row>
    <row r="47" spans="1:11" s="49" customFormat="1" x14ac:dyDescent="0.2">
      <c r="A47" s="37" t="s">
        <v>97</v>
      </c>
      <c r="B47" s="54">
        <v>0</v>
      </c>
      <c r="C47" s="55">
        <v>0</v>
      </c>
      <c r="D47" s="55">
        <v>0</v>
      </c>
      <c r="E47" s="56">
        <v>0</v>
      </c>
      <c r="F47" s="55">
        <v>0</v>
      </c>
      <c r="G47" s="30">
        <f t="shared" si="2"/>
        <v>0</v>
      </c>
    </row>
    <row r="48" spans="1:11" s="49" customFormat="1" x14ac:dyDescent="0.2">
      <c r="A48" s="37" t="s">
        <v>98</v>
      </c>
      <c r="B48" s="54">
        <v>15010882.719999999</v>
      </c>
      <c r="C48" s="55">
        <v>559909.37999999803</v>
      </c>
      <c r="D48" s="55">
        <v>15570792.099999998</v>
      </c>
      <c r="E48" s="56">
        <v>14835982.639999997</v>
      </c>
      <c r="F48" s="55">
        <v>14835982.640000001</v>
      </c>
      <c r="G48" s="30">
        <f t="shared" si="2"/>
        <v>734809.46000000089</v>
      </c>
    </row>
    <row r="49" spans="1:7" s="49" customFormat="1" x14ac:dyDescent="0.2">
      <c r="A49" s="37" t="s">
        <v>99</v>
      </c>
      <c r="B49" s="54"/>
      <c r="C49" s="55">
        <v>-3861595.61</v>
      </c>
      <c r="D49" s="55">
        <v>-3861595.61</v>
      </c>
      <c r="E49" s="56">
        <v>-5637128.5999999996</v>
      </c>
      <c r="F49" s="55">
        <v>-5637128.5999999996</v>
      </c>
      <c r="G49" s="30">
        <f t="shared" si="2"/>
        <v>1775532.9899999998</v>
      </c>
    </row>
    <row r="50" spans="1:7" s="49" customFormat="1" x14ac:dyDescent="0.2">
      <c r="A50" s="37" t="s">
        <v>100</v>
      </c>
      <c r="B50" s="54">
        <v>46852834.399999999</v>
      </c>
      <c r="C50" s="55">
        <v>14970382.98</v>
      </c>
      <c r="D50" s="55">
        <v>61823217.379999995</v>
      </c>
      <c r="E50" s="56">
        <v>58071452.469999999</v>
      </c>
      <c r="F50" s="55">
        <v>56434580.119999997</v>
      </c>
      <c r="G50" s="30">
        <f t="shared" si="2"/>
        <v>3751764.9099999964</v>
      </c>
    </row>
    <row r="51" spans="1:7" s="49" customFormat="1" x14ac:dyDescent="0.2">
      <c r="A51" s="37" t="s">
        <v>101</v>
      </c>
      <c r="B51" s="54">
        <v>0</v>
      </c>
      <c r="C51" s="55">
        <v>0</v>
      </c>
      <c r="D51" s="55">
        <v>0</v>
      </c>
      <c r="E51" s="56">
        <v>0</v>
      </c>
      <c r="F51" s="55">
        <v>0</v>
      </c>
      <c r="G51" s="30">
        <f t="shared" si="2"/>
        <v>0</v>
      </c>
    </row>
    <row r="52" spans="1:7" s="49" customFormat="1" ht="5.0999999999999996" customHeight="1" x14ac:dyDescent="0.2">
      <c r="A52" s="34"/>
      <c r="B52" s="35"/>
      <c r="C52" s="35"/>
      <c r="D52" s="35"/>
      <c r="E52" s="35"/>
      <c r="F52" s="35"/>
      <c r="G52" s="35"/>
    </row>
    <row r="53" spans="1:7" s="49" customFormat="1" x14ac:dyDescent="0.2">
      <c r="A53" s="34" t="s">
        <v>102</v>
      </c>
      <c r="B53" s="35">
        <f>SUM(B54:B60)</f>
        <v>134000669.66</v>
      </c>
      <c r="C53" s="35">
        <f t="shared" ref="C53:F53" si="8">SUM(C54:C60)</f>
        <v>53378046.999999993</v>
      </c>
      <c r="D53" s="35">
        <f t="shared" si="8"/>
        <v>187483341.66000003</v>
      </c>
      <c r="E53" s="35">
        <f t="shared" si="8"/>
        <v>100022487.46000002</v>
      </c>
      <c r="F53" s="35">
        <f t="shared" si="8"/>
        <v>89502510.820000008</v>
      </c>
      <c r="G53" s="35">
        <f t="shared" si="2"/>
        <v>87460854.200000003</v>
      </c>
    </row>
    <row r="54" spans="1:7" s="49" customFormat="1" x14ac:dyDescent="0.2">
      <c r="A54" s="37" t="s">
        <v>103</v>
      </c>
      <c r="B54" s="54">
        <v>48425935.359999999</v>
      </c>
      <c r="C54" s="30">
        <v>4363688.04</v>
      </c>
      <c r="D54" s="30">
        <f t="shared" ref="D54:D60" si="9">B54+C54</f>
        <v>52789623.399999999</v>
      </c>
      <c r="E54" s="57">
        <v>22332101.73</v>
      </c>
      <c r="F54" s="30">
        <v>21350782.789999999</v>
      </c>
      <c r="G54" s="30">
        <f t="shared" si="2"/>
        <v>30457521.669999998</v>
      </c>
    </row>
    <row r="55" spans="1:7" s="49" customFormat="1" x14ac:dyDescent="0.2">
      <c r="A55" s="37" t="s">
        <v>104</v>
      </c>
      <c r="B55" s="54">
        <f>85217843.52-281265.9-183700.85-682564.19</f>
        <v>84070312.579999998</v>
      </c>
      <c r="C55" s="30">
        <f>38179248.98+281265.9+183700.85-3656831.38-104625</f>
        <v>34882759.349999994</v>
      </c>
      <c r="D55" s="30">
        <f>123397092.5-281265.9-183700.85-682564.19+281265.9+183700.85-3656831.38</f>
        <v>119057696.93000001</v>
      </c>
      <c r="E55" s="57">
        <f>76073135.94-187603.6-919224.69-164900-91980.63</f>
        <v>74709427.020000011</v>
      </c>
      <c r="F55" s="30">
        <f>66992254.88-187603.6-919224.69-164900-91980.63</f>
        <v>65628545.960000001</v>
      </c>
      <c r="G55" s="30">
        <f>D55-E55</f>
        <v>44348269.909999996</v>
      </c>
    </row>
    <row r="56" spans="1:7" s="49" customFormat="1" x14ac:dyDescent="0.2">
      <c r="A56" s="37" t="s">
        <v>105</v>
      </c>
      <c r="B56" s="54">
        <v>100000</v>
      </c>
      <c r="C56" s="30">
        <v>0</v>
      </c>
      <c r="D56" s="30">
        <f t="shared" si="9"/>
        <v>100000</v>
      </c>
      <c r="E56" s="57">
        <v>81444</v>
      </c>
      <c r="F56" s="30">
        <v>61535</v>
      </c>
      <c r="G56" s="30">
        <f t="shared" si="2"/>
        <v>18556</v>
      </c>
    </row>
    <row r="57" spans="1:7" s="49" customFormat="1" x14ac:dyDescent="0.2">
      <c r="A57" s="37" t="s">
        <v>106</v>
      </c>
      <c r="B57" s="54">
        <v>1404421.7200000007</v>
      </c>
      <c r="C57" s="30">
        <v>13485955.68</v>
      </c>
      <c r="D57" s="30">
        <f t="shared" si="9"/>
        <v>14890377.4</v>
      </c>
      <c r="E57" s="57">
        <v>2262202.9699999997</v>
      </c>
      <c r="F57" s="30">
        <v>1824335.3299999991</v>
      </c>
      <c r="G57" s="30">
        <f t="shared" si="2"/>
        <v>12628174.43</v>
      </c>
    </row>
    <row r="58" spans="1:7" s="49" customFormat="1" x14ac:dyDescent="0.2">
      <c r="A58" s="37" t="s">
        <v>107</v>
      </c>
      <c r="B58" s="54">
        <v>0</v>
      </c>
      <c r="C58" s="30">
        <v>0</v>
      </c>
      <c r="D58" s="30">
        <f t="shared" si="9"/>
        <v>0</v>
      </c>
      <c r="E58" s="57">
        <v>0</v>
      </c>
      <c r="F58" s="30">
        <v>0</v>
      </c>
      <c r="G58" s="30">
        <f t="shared" si="2"/>
        <v>0</v>
      </c>
    </row>
    <row r="59" spans="1:7" s="49" customFormat="1" x14ac:dyDescent="0.2">
      <c r="A59" s="37" t="s">
        <v>108</v>
      </c>
      <c r="B59" s="54">
        <v>0</v>
      </c>
      <c r="C59" s="30">
        <v>445643.93000000005</v>
      </c>
      <c r="D59" s="30">
        <f t="shared" si="9"/>
        <v>445643.93000000005</v>
      </c>
      <c r="E59" s="57">
        <v>442478.70000000019</v>
      </c>
      <c r="F59" s="30">
        <v>442478.70000000019</v>
      </c>
      <c r="G59" s="30">
        <f t="shared" si="2"/>
        <v>3165.229999999865</v>
      </c>
    </row>
    <row r="60" spans="1:7" s="49" customFormat="1" x14ac:dyDescent="0.2">
      <c r="A60" s="37" t="s">
        <v>109</v>
      </c>
      <c r="B60" s="54">
        <v>0</v>
      </c>
      <c r="C60" s="30">
        <v>200000</v>
      </c>
      <c r="D60" s="30">
        <f t="shared" si="9"/>
        <v>200000</v>
      </c>
      <c r="E60" s="57">
        <v>194833.04</v>
      </c>
      <c r="F60" s="30">
        <v>194833.04</v>
      </c>
      <c r="G60" s="30">
        <f t="shared" si="2"/>
        <v>5166.9599999999919</v>
      </c>
    </row>
    <row r="61" spans="1:7" s="49" customFormat="1" ht="5.0999999999999996" customHeight="1" x14ac:dyDescent="0.2">
      <c r="A61" s="34"/>
      <c r="B61" s="35"/>
      <c r="C61" s="35"/>
      <c r="D61" s="35"/>
      <c r="E61" s="35"/>
      <c r="F61" s="35"/>
      <c r="G61" s="35"/>
    </row>
    <row r="62" spans="1:7" s="49" customFormat="1" x14ac:dyDescent="0.2">
      <c r="A62" s="34" t="s">
        <v>110</v>
      </c>
      <c r="B62" s="35">
        <f>SUM(B63:B71)</f>
        <v>0</v>
      </c>
      <c r="C62" s="35">
        <f t="shared" ref="C62:F62" si="10">SUM(C63:C71)</f>
        <v>716281.9</v>
      </c>
      <c r="D62" s="35">
        <f t="shared" si="10"/>
        <v>716281.9</v>
      </c>
      <c r="E62" s="35">
        <f t="shared" si="10"/>
        <v>7031.9000000000005</v>
      </c>
      <c r="F62" s="35">
        <f t="shared" si="10"/>
        <v>7031.9000000000005</v>
      </c>
      <c r="G62" s="35">
        <f t="shared" si="2"/>
        <v>709250</v>
      </c>
    </row>
    <row r="63" spans="1:7" s="49" customFormat="1" x14ac:dyDescent="0.2">
      <c r="A63" s="37" t="s">
        <v>111</v>
      </c>
      <c r="B63" s="56">
        <v>0</v>
      </c>
      <c r="C63" s="55">
        <v>0</v>
      </c>
      <c r="D63" s="55">
        <f t="shared" ref="D63:D71" si="11">B63+C63</f>
        <v>0</v>
      </c>
      <c r="E63" s="56">
        <v>0</v>
      </c>
      <c r="F63" s="55">
        <v>0</v>
      </c>
      <c r="G63" s="30">
        <f t="shared" si="2"/>
        <v>0</v>
      </c>
    </row>
    <row r="64" spans="1:7" s="49" customFormat="1" x14ac:dyDescent="0.2">
      <c r="A64" s="37" t="s">
        <v>112</v>
      </c>
      <c r="B64" s="56">
        <v>0</v>
      </c>
      <c r="C64" s="55">
        <f>920906.9-100000-104625</f>
        <v>716281.9</v>
      </c>
      <c r="D64" s="55">
        <f>B64+C64</f>
        <v>716281.9</v>
      </c>
      <c r="E64" s="56">
        <f>10518.2-3486.3</f>
        <v>7031.9000000000005</v>
      </c>
      <c r="F64" s="55">
        <f>10518.2-3486.3</f>
        <v>7031.9000000000005</v>
      </c>
      <c r="G64" s="30">
        <f t="shared" si="2"/>
        <v>709250</v>
      </c>
    </row>
    <row r="65" spans="1:7" s="49" customFormat="1" x14ac:dyDescent="0.2">
      <c r="A65" s="37" t="s">
        <v>113</v>
      </c>
      <c r="B65" s="56">
        <v>0</v>
      </c>
      <c r="C65" s="55">
        <v>0</v>
      </c>
      <c r="D65" s="55">
        <f t="shared" si="11"/>
        <v>0</v>
      </c>
      <c r="E65" s="56">
        <v>0</v>
      </c>
      <c r="F65" s="55">
        <v>0</v>
      </c>
      <c r="G65" s="30">
        <f t="shared" si="2"/>
        <v>0</v>
      </c>
    </row>
    <row r="66" spans="1:7" s="49" customFormat="1" x14ac:dyDescent="0.2">
      <c r="A66" s="37" t="s">
        <v>114</v>
      </c>
      <c r="B66" s="56">
        <v>0</v>
      </c>
      <c r="C66" s="55">
        <v>0</v>
      </c>
      <c r="D66" s="55">
        <f t="shared" si="11"/>
        <v>0</v>
      </c>
      <c r="E66" s="56">
        <v>0</v>
      </c>
      <c r="F66" s="55">
        <v>0</v>
      </c>
      <c r="G66" s="30">
        <f t="shared" si="2"/>
        <v>0</v>
      </c>
    </row>
    <row r="67" spans="1:7" s="49" customFormat="1" x14ac:dyDescent="0.2">
      <c r="A67" s="37" t="s">
        <v>115</v>
      </c>
      <c r="B67" s="56">
        <v>0</v>
      </c>
      <c r="C67" s="55">
        <v>0</v>
      </c>
      <c r="D67" s="55">
        <f t="shared" si="11"/>
        <v>0</v>
      </c>
      <c r="E67" s="56">
        <v>0</v>
      </c>
      <c r="F67" s="55">
        <v>0</v>
      </c>
      <c r="G67" s="30">
        <f t="shared" si="2"/>
        <v>0</v>
      </c>
    </row>
    <row r="68" spans="1:7" s="49" customFormat="1" x14ac:dyDescent="0.2">
      <c r="A68" s="37" t="s">
        <v>116</v>
      </c>
      <c r="B68" s="56">
        <v>0</v>
      </c>
      <c r="C68" s="55">
        <v>0</v>
      </c>
      <c r="D68" s="55">
        <f t="shared" si="11"/>
        <v>0</v>
      </c>
      <c r="E68" s="56">
        <v>0</v>
      </c>
      <c r="F68" s="55">
        <v>0</v>
      </c>
      <c r="G68" s="30">
        <f t="shared" si="2"/>
        <v>0</v>
      </c>
    </row>
    <row r="69" spans="1:7" s="49" customFormat="1" x14ac:dyDescent="0.2">
      <c r="A69" s="37" t="s">
        <v>117</v>
      </c>
      <c r="B69" s="56">
        <v>0</v>
      </c>
      <c r="C69" s="55">
        <v>0</v>
      </c>
      <c r="D69" s="55">
        <f t="shared" si="11"/>
        <v>0</v>
      </c>
      <c r="E69" s="56">
        <v>0</v>
      </c>
      <c r="F69" s="55">
        <v>0</v>
      </c>
      <c r="G69" s="30">
        <f t="shared" si="2"/>
        <v>0</v>
      </c>
    </row>
    <row r="70" spans="1:7" s="49" customFormat="1" x14ac:dyDescent="0.2">
      <c r="A70" s="37" t="s">
        <v>118</v>
      </c>
      <c r="B70" s="56">
        <v>0</v>
      </c>
      <c r="C70" s="55">
        <v>0</v>
      </c>
      <c r="D70" s="55">
        <f t="shared" si="11"/>
        <v>0</v>
      </c>
      <c r="E70" s="56">
        <v>0</v>
      </c>
      <c r="F70" s="55">
        <v>0</v>
      </c>
      <c r="G70" s="30">
        <f t="shared" si="2"/>
        <v>0</v>
      </c>
    </row>
    <row r="71" spans="1:7" s="49" customFormat="1" x14ac:dyDescent="0.2">
      <c r="A71" s="37" t="s">
        <v>119</v>
      </c>
      <c r="B71" s="56">
        <v>0</v>
      </c>
      <c r="C71" s="55">
        <v>0</v>
      </c>
      <c r="D71" s="55">
        <f t="shared" si="11"/>
        <v>0</v>
      </c>
      <c r="E71" s="56">
        <v>0</v>
      </c>
      <c r="F71" s="55">
        <v>0</v>
      </c>
      <c r="G71" s="30">
        <f t="shared" si="2"/>
        <v>0</v>
      </c>
    </row>
    <row r="72" spans="1:7" s="49" customFormat="1" ht="5.0999999999999996" customHeight="1" x14ac:dyDescent="0.2">
      <c r="A72" s="34"/>
      <c r="B72" s="35"/>
      <c r="C72" s="35"/>
      <c r="D72" s="35"/>
      <c r="E72" s="35"/>
      <c r="F72" s="35"/>
      <c r="G72" s="35"/>
    </row>
    <row r="73" spans="1:7" s="49" customFormat="1" x14ac:dyDescent="0.2">
      <c r="A73" s="50" t="s">
        <v>120</v>
      </c>
      <c r="B73" s="35">
        <f>SUM(B74:B77)</f>
        <v>4036022.73</v>
      </c>
      <c r="C73" s="35">
        <f t="shared" ref="C73:F73" si="12">SUM(C74:C77)</f>
        <v>229651.04</v>
      </c>
      <c r="D73" s="35">
        <f t="shared" si="12"/>
        <v>4265673.7699999996</v>
      </c>
      <c r="E73" s="35">
        <f t="shared" si="12"/>
        <v>3076152.72</v>
      </c>
      <c r="F73" s="35">
        <f t="shared" si="12"/>
        <v>2811010.32</v>
      </c>
      <c r="G73" s="35">
        <f t="shared" ref="G73:G77" si="13">D73-E73</f>
        <v>1189521.0499999993</v>
      </c>
    </row>
    <row r="74" spans="1:7" s="49" customFormat="1" x14ac:dyDescent="0.2">
      <c r="A74" s="37" t="s">
        <v>121</v>
      </c>
      <c r="B74" s="54">
        <v>4036022.73</v>
      </c>
      <c r="C74" s="30">
        <v>229651.04</v>
      </c>
      <c r="D74" s="30">
        <f>B74+C74</f>
        <v>4265673.7699999996</v>
      </c>
      <c r="E74" s="57">
        <v>3076152.72</v>
      </c>
      <c r="F74" s="30">
        <v>2811010.32</v>
      </c>
      <c r="G74" s="30">
        <f t="shared" si="13"/>
        <v>1189521.0499999993</v>
      </c>
    </row>
    <row r="75" spans="1:7" s="49" customFormat="1" ht="22.5" x14ac:dyDescent="0.2">
      <c r="A75" s="53" t="s">
        <v>122</v>
      </c>
      <c r="B75" s="54">
        <v>0</v>
      </c>
      <c r="C75" s="30">
        <v>0</v>
      </c>
      <c r="D75" s="58">
        <v>0</v>
      </c>
      <c r="E75" s="54">
        <v>0</v>
      </c>
      <c r="F75" s="30">
        <v>0</v>
      </c>
      <c r="G75" s="30">
        <f t="shared" si="13"/>
        <v>0</v>
      </c>
    </row>
    <row r="76" spans="1:7" s="49" customFormat="1" x14ac:dyDescent="0.2">
      <c r="A76" s="37" t="s">
        <v>123</v>
      </c>
      <c r="B76" s="30"/>
      <c r="C76" s="30"/>
      <c r="D76" s="30"/>
      <c r="E76" s="30"/>
      <c r="F76" s="30"/>
      <c r="G76" s="30">
        <f t="shared" si="13"/>
        <v>0</v>
      </c>
    </row>
    <row r="77" spans="1:7" s="49" customFormat="1" x14ac:dyDescent="0.2">
      <c r="A77" s="37" t="s">
        <v>124</v>
      </c>
      <c r="B77" s="30"/>
      <c r="C77" s="30"/>
      <c r="D77" s="30"/>
      <c r="E77" s="30"/>
      <c r="F77" s="30"/>
      <c r="G77" s="30">
        <f t="shared" si="13"/>
        <v>0</v>
      </c>
    </row>
    <row r="78" spans="1:7" s="49" customFormat="1" ht="5.0999999999999996" customHeight="1" x14ac:dyDescent="0.2">
      <c r="A78" s="34"/>
      <c r="B78" s="35"/>
      <c r="C78" s="35"/>
      <c r="D78" s="35"/>
      <c r="E78" s="35"/>
      <c r="F78" s="35"/>
      <c r="G78" s="35"/>
    </row>
    <row r="79" spans="1:7" s="49" customFormat="1" x14ac:dyDescent="0.2">
      <c r="A79" s="34" t="s">
        <v>83</v>
      </c>
      <c r="B79" s="35">
        <f>B5+B42</f>
        <v>382117055.64999998</v>
      </c>
      <c r="C79" s="35">
        <f t="shared" ref="C79:G79" si="14">C5+C42</f>
        <v>74887778.559999987</v>
      </c>
      <c r="D79" s="35">
        <f t="shared" si="14"/>
        <v>457109459.20999998</v>
      </c>
      <c r="E79" s="35">
        <f t="shared" si="14"/>
        <v>346155401.05000001</v>
      </c>
      <c r="F79" s="35">
        <f t="shared" si="14"/>
        <v>331457827.19999993</v>
      </c>
      <c r="G79" s="35">
        <f t="shared" si="14"/>
        <v>110954058.15999995</v>
      </c>
    </row>
    <row r="80" spans="1:7" s="49" customFormat="1" ht="5.0999999999999996" customHeight="1" x14ac:dyDescent="0.2">
      <c r="A80" s="59"/>
      <c r="B80" s="60"/>
      <c r="C80" s="60"/>
      <c r="D80" s="60"/>
      <c r="E80" s="60"/>
      <c r="F80" s="60"/>
      <c r="G80" s="60"/>
    </row>
    <row r="82" spans="1:6" s="42" customFormat="1" x14ac:dyDescent="0.2">
      <c r="A82" s="38"/>
      <c r="B82" s="39"/>
      <c r="C82" s="39"/>
      <c r="D82" s="39"/>
      <c r="E82" s="40"/>
      <c r="F82" s="41"/>
    </row>
    <row r="83" spans="1:6" s="46" customFormat="1" x14ac:dyDescent="0.2">
      <c r="A83" s="43"/>
      <c r="B83" s="44"/>
      <c r="C83" s="44"/>
      <c r="D83" s="45"/>
      <c r="E83" s="43"/>
    </row>
    <row r="84" spans="1:6" s="46" customFormat="1" x14ac:dyDescent="0.2">
      <c r="A84" s="43"/>
      <c r="B84" s="44"/>
      <c r="C84" s="44"/>
      <c r="D84" s="45"/>
      <c r="E84" s="43"/>
    </row>
    <row r="85" spans="1:6" s="46" customFormat="1" x14ac:dyDescent="0.2">
      <c r="A85" s="43"/>
      <c r="B85" s="44"/>
      <c r="C85" s="44"/>
      <c r="D85" s="45"/>
      <c r="E85" s="43"/>
    </row>
    <row r="86" spans="1:6" s="46" customFormat="1" x14ac:dyDescent="0.2">
      <c r="A86" s="43"/>
      <c r="B86" s="44"/>
      <c r="C86" s="44"/>
      <c r="D86" s="45"/>
      <c r="E86" s="43"/>
    </row>
    <row r="87" spans="1:6" s="46" customFormat="1" x14ac:dyDescent="0.2">
      <c r="A87" s="43"/>
      <c r="B87" s="44"/>
      <c r="C87" s="44"/>
      <c r="D87" s="45"/>
      <c r="E87" s="43"/>
    </row>
    <row r="88" spans="1:6" s="46" customFormat="1" x14ac:dyDescent="0.2">
      <c r="A88" s="43"/>
      <c r="B88" s="44"/>
      <c r="C88" s="44"/>
      <c r="D88" s="45"/>
      <c r="E88" s="43"/>
    </row>
    <row r="89" spans="1:6" s="46" customFormat="1" x14ac:dyDescent="0.2">
      <c r="A89" s="43"/>
      <c r="B89" s="44"/>
      <c r="C89" s="44"/>
      <c r="D89" s="45"/>
      <c r="E89" s="43"/>
    </row>
    <row r="90" spans="1:6" s="46" customFormat="1" x14ac:dyDescent="0.2">
      <c r="A90" s="43"/>
      <c r="B90" s="44"/>
      <c r="C90" s="44"/>
      <c r="D90" s="45"/>
      <c r="E90" s="4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36" sqref="C36"/>
    </sheetView>
  </sheetViews>
  <sheetFormatPr baseColWidth="10" defaultRowHeight="11.25" x14ac:dyDescent="0.2"/>
  <cols>
    <col min="1" max="1" width="56.83203125" style="5" customWidth="1"/>
    <col min="2" max="7" width="16.83203125" style="5" customWidth="1"/>
    <col min="8" max="16384" width="12" style="5"/>
  </cols>
  <sheetData>
    <row r="1" spans="1:7" ht="56.1" customHeight="1" x14ac:dyDescent="0.2">
      <c r="A1" s="74" t="s">
        <v>204</v>
      </c>
      <c r="B1" s="79"/>
      <c r="C1" s="79"/>
      <c r="D1" s="79"/>
      <c r="E1" s="79"/>
      <c r="F1" s="79"/>
      <c r="G1" s="80"/>
    </row>
    <row r="2" spans="1:7" x14ac:dyDescent="0.2">
      <c r="A2" s="16"/>
      <c r="B2" s="78" t="s">
        <v>0</v>
      </c>
      <c r="C2" s="78"/>
      <c r="D2" s="78"/>
      <c r="E2" s="78"/>
      <c r="F2" s="78"/>
      <c r="G2" s="6"/>
    </row>
    <row r="3" spans="1:7" ht="45.75" customHeight="1" x14ac:dyDescent="0.2">
      <c r="A3" s="19" t="s">
        <v>1</v>
      </c>
      <c r="B3" s="8" t="s">
        <v>2</v>
      </c>
      <c r="C3" s="8" t="s">
        <v>3</v>
      </c>
      <c r="D3" s="8" t="s">
        <v>4</v>
      </c>
      <c r="E3" s="8" t="s">
        <v>126</v>
      </c>
      <c r="F3" s="8" t="s">
        <v>86</v>
      </c>
      <c r="G3" s="20" t="s">
        <v>7</v>
      </c>
    </row>
    <row r="4" spans="1:7" x14ac:dyDescent="0.2">
      <c r="A4" s="21" t="s">
        <v>127</v>
      </c>
      <c r="B4" s="22">
        <f>B5+B6+B7+B10+B11+B14</f>
        <v>0</v>
      </c>
      <c r="C4" s="22">
        <f t="shared" ref="C4:G4" si="0">C5+C6+C7+C10+C11+C14</f>
        <v>0</v>
      </c>
      <c r="D4" s="22">
        <f t="shared" si="0"/>
        <v>0</v>
      </c>
      <c r="E4" s="22">
        <f t="shared" si="0"/>
        <v>0</v>
      </c>
      <c r="F4" s="22">
        <f t="shared" si="0"/>
        <v>0</v>
      </c>
      <c r="G4" s="22">
        <f t="shared" si="0"/>
        <v>0</v>
      </c>
    </row>
    <row r="5" spans="1:7" x14ac:dyDescent="0.2">
      <c r="A5" s="23" t="s">
        <v>128</v>
      </c>
      <c r="B5" s="1"/>
      <c r="C5" s="1"/>
      <c r="D5" s="1"/>
      <c r="E5" s="1"/>
      <c r="F5" s="1"/>
      <c r="G5" s="1">
        <f>D5-E5</f>
        <v>0</v>
      </c>
    </row>
    <row r="6" spans="1:7" x14ac:dyDescent="0.2">
      <c r="A6" s="23" t="s">
        <v>129</v>
      </c>
      <c r="B6" s="1"/>
      <c r="C6" s="1"/>
      <c r="D6" s="1"/>
      <c r="E6" s="1"/>
      <c r="F6" s="1"/>
      <c r="G6" s="1">
        <f>D6-E6</f>
        <v>0</v>
      </c>
    </row>
    <row r="7" spans="1:7" x14ac:dyDescent="0.2">
      <c r="A7" s="23" t="s">
        <v>130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18" t="s">
        <v>131</v>
      </c>
      <c r="B8" s="2"/>
      <c r="C8" s="2"/>
      <c r="D8" s="2"/>
      <c r="E8" s="2"/>
      <c r="F8" s="2"/>
      <c r="G8" s="2">
        <f t="shared" ref="G8:G14" si="2">D8-E8</f>
        <v>0</v>
      </c>
    </row>
    <row r="9" spans="1:7" x14ac:dyDescent="0.2">
      <c r="A9" s="18" t="s">
        <v>132</v>
      </c>
      <c r="B9" s="2"/>
      <c r="C9" s="2"/>
      <c r="D9" s="2"/>
      <c r="E9" s="2"/>
      <c r="F9" s="2"/>
      <c r="G9" s="2">
        <f t="shared" si="2"/>
        <v>0</v>
      </c>
    </row>
    <row r="10" spans="1:7" x14ac:dyDescent="0.2">
      <c r="A10" s="23" t="s">
        <v>133</v>
      </c>
      <c r="B10" s="1"/>
      <c r="C10" s="1"/>
      <c r="D10" s="1"/>
      <c r="E10" s="1"/>
      <c r="F10" s="1"/>
      <c r="G10" s="1">
        <f t="shared" si="2"/>
        <v>0</v>
      </c>
    </row>
    <row r="11" spans="1:7" ht="22.5" x14ac:dyDescent="0.2">
      <c r="A11" s="23" t="s">
        <v>134</v>
      </c>
      <c r="B11" s="1">
        <f>SUM(B12:B13)</f>
        <v>0</v>
      </c>
      <c r="C11" s="1">
        <f t="shared" ref="C11:F11" si="3">SUM(C12:C13)</f>
        <v>0</v>
      </c>
      <c r="D11" s="1">
        <f t="shared" si="3"/>
        <v>0</v>
      </c>
      <c r="E11" s="1">
        <f t="shared" si="3"/>
        <v>0</v>
      </c>
      <c r="F11" s="1">
        <f t="shared" si="3"/>
        <v>0</v>
      </c>
      <c r="G11" s="1">
        <f t="shared" si="2"/>
        <v>0</v>
      </c>
    </row>
    <row r="12" spans="1:7" x14ac:dyDescent="0.2">
      <c r="A12" s="18" t="s">
        <v>135</v>
      </c>
      <c r="B12" s="2"/>
      <c r="C12" s="2"/>
      <c r="D12" s="2"/>
      <c r="E12" s="2"/>
      <c r="F12" s="2"/>
      <c r="G12" s="2">
        <f t="shared" si="2"/>
        <v>0</v>
      </c>
    </row>
    <row r="13" spans="1:7" x14ac:dyDescent="0.2">
      <c r="A13" s="18" t="s">
        <v>136</v>
      </c>
      <c r="B13" s="2"/>
      <c r="C13" s="2"/>
      <c r="D13" s="2"/>
      <c r="E13" s="2"/>
      <c r="F13" s="2"/>
      <c r="G13" s="2">
        <f t="shared" si="2"/>
        <v>0</v>
      </c>
    </row>
    <row r="14" spans="1:7" x14ac:dyDescent="0.2">
      <c r="A14" s="23" t="s">
        <v>137</v>
      </c>
      <c r="B14" s="1"/>
      <c r="C14" s="1"/>
      <c r="D14" s="1"/>
      <c r="E14" s="1"/>
      <c r="F14" s="1"/>
      <c r="G14" s="1">
        <f t="shared" si="2"/>
        <v>0</v>
      </c>
    </row>
    <row r="15" spans="1:7" ht="5.0999999999999996" customHeight="1" x14ac:dyDescent="0.2">
      <c r="A15" s="23"/>
      <c r="B15" s="2"/>
      <c r="C15" s="2"/>
      <c r="D15" s="2"/>
      <c r="E15" s="2"/>
      <c r="F15" s="2"/>
      <c r="G15" s="2"/>
    </row>
    <row r="16" spans="1:7" x14ac:dyDescent="0.2">
      <c r="A16" s="13" t="s">
        <v>138</v>
      </c>
      <c r="B16" s="1">
        <f>B17+B18+B19+B22+B23+B26</f>
        <v>0</v>
      </c>
      <c r="C16" s="1">
        <f t="shared" ref="C16:G16" si="4">C17+C18+C19+C22+C23+C26</f>
        <v>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</row>
    <row r="17" spans="1:7" x14ac:dyDescent="0.2">
      <c r="A17" s="23" t="s">
        <v>128</v>
      </c>
      <c r="B17" s="1"/>
      <c r="C17" s="1"/>
      <c r="D17" s="1"/>
      <c r="E17" s="1"/>
      <c r="F17" s="1"/>
      <c r="G17" s="1">
        <f t="shared" ref="G17:G26" si="5">D17-E17</f>
        <v>0</v>
      </c>
    </row>
    <row r="18" spans="1:7" x14ac:dyDescent="0.2">
      <c r="A18" s="23" t="s">
        <v>129</v>
      </c>
      <c r="B18" s="1"/>
      <c r="C18" s="1"/>
      <c r="D18" s="1"/>
      <c r="E18" s="1"/>
      <c r="F18" s="1"/>
      <c r="G18" s="1">
        <f t="shared" si="5"/>
        <v>0</v>
      </c>
    </row>
    <row r="19" spans="1:7" x14ac:dyDescent="0.2">
      <c r="A19" s="23" t="s">
        <v>130</v>
      </c>
      <c r="B19" s="1">
        <f>SUM(B20:B21)</f>
        <v>0</v>
      </c>
      <c r="C19" s="1">
        <f t="shared" ref="C19:F19" si="6">SUM(C20:C21)</f>
        <v>0</v>
      </c>
      <c r="D19" s="1">
        <f t="shared" si="6"/>
        <v>0</v>
      </c>
      <c r="E19" s="1">
        <f t="shared" si="6"/>
        <v>0</v>
      </c>
      <c r="F19" s="1">
        <f t="shared" si="6"/>
        <v>0</v>
      </c>
      <c r="G19" s="1">
        <f t="shared" si="5"/>
        <v>0</v>
      </c>
    </row>
    <row r="20" spans="1:7" x14ac:dyDescent="0.2">
      <c r="A20" s="18" t="s">
        <v>131</v>
      </c>
      <c r="B20" s="2"/>
      <c r="C20" s="2"/>
      <c r="D20" s="2"/>
      <c r="E20" s="2"/>
      <c r="F20" s="2"/>
      <c r="G20" s="2">
        <f t="shared" si="5"/>
        <v>0</v>
      </c>
    </row>
    <row r="21" spans="1:7" x14ac:dyDescent="0.2">
      <c r="A21" s="18" t="s">
        <v>132</v>
      </c>
      <c r="B21" s="2"/>
      <c r="C21" s="2"/>
      <c r="D21" s="2"/>
      <c r="E21" s="2"/>
      <c r="F21" s="2"/>
      <c r="G21" s="2">
        <f t="shared" si="5"/>
        <v>0</v>
      </c>
    </row>
    <row r="22" spans="1:7" x14ac:dyDescent="0.2">
      <c r="A22" s="23" t="s">
        <v>133</v>
      </c>
      <c r="B22" s="1"/>
      <c r="C22" s="1"/>
      <c r="D22" s="1"/>
      <c r="E22" s="1"/>
      <c r="F22" s="1"/>
      <c r="G22" s="1">
        <f t="shared" si="5"/>
        <v>0</v>
      </c>
    </row>
    <row r="23" spans="1:7" ht="22.5" x14ac:dyDescent="0.2">
      <c r="A23" s="23" t="s">
        <v>134</v>
      </c>
      <c r="B23" s="1">
        <f>SUM(B24:B25)</f>
        <v>0</v>
      </c>
      <c r="C23" s="1">
        <f t="shared" ref="C23:F23" si="7">SUM(C24:C25)</f>
        <v>0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5"/>
        <v>0</v>
      </c>
    </row>
    <row r="24" spans="1:7" x14ac:dyDescent="0.2">
      <c r="A24" s="18" t="s">
        <v>135</v>
      </c>
      <c r="B24" s="2"/>
      <c r="C24" s="2"/>
      <c r="D24" s="2"/>
      <c r="E24" s="2"/>
      <c r="F24" s="2"/>
      <c r="G24" s="2">
        <f t="shared" si="5"/>
        <v>0</v>
      </c>
    </row>
    <row r="25" spans="1:7" x14ac:dyDescent="0.2">
      <c r="A25" s="18" t="s">
        <v>136</v>
      </c>
      <c r="B25" s="2"/>
      <c r="C25" s="2"/>
      <c r="D25" s="2"/>
      <c r="E25" s="2"/>
      <c r="F25" s="2"/>
      <c r="G25" s="2">
        <f t="shared" si="5"/>
        <v>0</v>
      </c>
    </row>
    <row r="26" spans="1:7" x14ac:dyDescent="0.2">
      <c r="A26" s="23" t="s">
        <v>137</v>
      </c>
      <c r="B26" s="1"/>
      <c r="C26" s="1"/>
      <c r="D26" s="1"/>
      <c r="E26" s="1"/>
      <c r="F26" s="1"/>
      <c r="G26" s="1">
        <f t="shared" si="5"/>
        <v>0</v>
      </c>
    </row>
    <row r="27" spans="1:7" x14ac:dyDescent="0.2">
      <c r="A27" s="13" t="s">
        <v>139</v>
      </c>
      <c r="B27" s="1">
        <f>B4+B16</f>
        <v>0</v>
      </c>
      <c r="C27" s="1">
        <f t="shared" ref="C27:G27" si="8">C4+C16</f>
        <v>0</v>
      </c>
      <c r="D27" s="1">
        <f t="shared" si="8"/>
        <v>0</v>
      </c>
      <c r="E27" s="1">
        <f t="shared" si="8"/>
        <v>0</v>
      </c>
      <c r="F27" s="1">
        <f t="shared" si="8"/>
        <v>0</v>
      </c>
      <c r="G27" s="1">
        <f t="shared" si="8"/>
        <v>0</v>
      </c>
    </row>
    <row r="28" spans="1:7" ht="5.0999999999999996" customHeight="1" x14ac:dyDescent="0.2">
      <c r="A28" s="24"/>
      <c r="B28" s="4"/>
      <c r="C28" s="4"/>
      <c r="D28" s="4"/>
      <c r="E28" s="4"/>
      <c r="F28" s="4"/>
      <c r="G28" s="4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F6a</vt:lpstr>
      <vt:lpstr>F6b</vt:lpstr>
      <vt:lpstr>F6c</vt:lpstr>
      <vt:lpstr>F6d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2017-02-28T01:43:46Z</cp:lastPrinted>
  <dcterms:created xsi:type="dcterms:W3CDTF">2017-01-11T17:22:36Z</dcterms:created>
  <dcterms:modified xsi:type="dcterms:W3CDTF">2017-02-28T01:44:02Z</dcterms:modified>
</cp:coreProperties>
</file>