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6\"/>
    </mc:Choice>
  </mc:AlternateContent>
  <bookViews>
    <workbookView xWindow="0" yWindow="0" windowWidth="12960" windowHeight="11655" firstSheet="1" activeTab="1"/>
  </bookViews>
  <sheets>
    <sheet name="Hoja1" sheetId="5" state="hidden" r:id="rId1"/>
    <sheet name="F6a" sheetId="1" r:id="rId2"/>
  </sheets>
  <definedNames>
    <definedName name="_xlnm._FilterDatabase" localSheetId="1" hidden="1">F6a!$A$3:$G$155</definedName>
    <definedName name="_xlnm.Print_Titles" localSheetId="1">F6a!$1:$3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2" i="1" l="1"/>
  <c r="G151" i="1"/>
  <c r="G150" i="1"/>
  <c r="G149" i="1"/>
  <c r="G148" i="1"/>
  <c r="G147" i="1"/>
  <c r="G146" i="1"/>
  <c r="F145" i="1"/>
  <c r="E145" i="1"/>
  <c r="D145" i="1"/>
  <c r="G145" i="1" s="1"/>
  <c r="C145" i="1"/>
  <c r="B145" i="1"/>
  <c r="G144" i="1"/>
  <c r="G143" i="1"/>
  <c r="G142" i="1"/>
  <c r="F141" i="1"/>
  <c r="E141" i="1"/>
  <c r="D141" i="1"/>
  <c r="G141" i="1" s="1"/>
  <c r="C141" i="1"/>
  <c r="B141" i="1"/>
  <c r="G140" i="1"/>
  <c r="G139" i="1"/>
  <c r="G138" i="1"/>
  <c r="G137" i="1"/>
  <c r="G136" i="1"/>
  <c r="G135" i="1"/>
  <c r="G134" i="1"/>
  <c r="G133" i="1"/>
  <c r="G132" i="1"/>
  <c r="F132" i="1"/>
  <c r="E132" i="1"/>
  <c r="D132" i="1"/>
  <c r="C132" i="1"/>
  <c r="B132" i="1"/>
  <c r="G131" i="1"/>
  <c r="G130" i="1"/>
  <c r="G129" i="1"/>
  <c r="F129" i="1"/>
  <c r="F128" i="1" s="1"/>
  <c r="E129" i="1"/>
  <c r="D129" i="1"/>
  <c r="C129" i="1"/>
  <c r="C128" i="1" s="1"/>
  <c r="B129" i="1"/>
  <c r="B128" i="1" s="1"/>
  <c r="E128" i="1"/>
  <c r="D128" i="1"/>
  <c r="G128" i="1" s="1"/>
  <c r="G127" i="1"/>
  <c r="G126" i="1"/>
  <c r="G125" i="1"/>
  <c r="G124" i="1"/>
  <c r="G123" i="1"/>
  <c r="G122" i="1"/>
  <c r="G121" i="1"/>
  <c r="G120" i="1"/>
  <c r="G119" i="1"/>
  <c r="F118" i="1"/>
  <c r="E118" i="1"/>
  <c r="D118" i="1"/>
  <c r="G118" i="1" s="1"/>
  <c r="C118" i="1"/>
  <c r="B118" i="1"/>
  <c r="G117" i="1"/>
  <c r="G116" i="1"/>
  <c r="G115" i="1"/>
  <c r="G114" i="1"/>
  <c r="G113" i="1"/>
  <c r="G112" i="1"/>
  <c r="G111" i="1"/>
  <c r="F111" i="1"/>
  <c r="E111" i="1"/>
  <c r="G110" i="1"/>
  <c r="G109" i="1"/>
  <c r="F108" i="1"/>
  <c r="E108" i="1"/>
  <c r="D108" i="1"/>
  <c r="G108" i="1" s="1"/>
  <c r="C108" i="1"/>
  <c r="B108" i="1"/>
  <c r="G107" i="1"/>
  <c r="G106" i="1"/>
  <c r="G105" i="1"/>
  <c r="G104" i="1"/>
  <c r="G103" i="1"/>
  <c r="F102" i="1"/>
  <c r="E102" i="1"/>
  <c r="D102" i="1"/>
  <c r="G102" i="1" s="1"/>
  <c r="C102" i="1"/>
  <c r="C98" i="1" s="1"/>
  <c r="B102" i="1"/>
  <c r="G101" i="1"/>
  <c r="G100" i="1"/>
  <c r="G99" i="1"/>
  <c r="F98" i="1"/>
  <c r="E98" i="1"/>
  <c r="B98" i="1"/>
  <c r="G97" i="1"/>
  <c r="D97" i="1"/>
  <c r="C97" i="1"/>
  <c r="G96" i="1"/>
  <c r="G95" i="1"/>
  <c r="D95" i="1"/>
  <c r="C95" i="1"/>
  <c r="G94" i="1"/>
  <c r="G93" i="1"/>
  <c r="D93" i="1"/>
  <c r="D88" i="1" s="1"/>
  <c r="G88" i="1" s="1"/>
  <c r="C93" i="1"/>
  <c r="F92" i="1"/>
  <c r="E92" i="1"/>
  <c r="G92" i="1" s="1"/>
  <c r="D92" i="1"/>
  <c r="C92" i="1"/>
  <c r="G91" i="1"/>
  <c r="G90" i="1"/>
  <c r="G89" i="1"/>
  <c r="F88" i="1"/>
  <c r="E88" i="1"/>
  <c r="C88" i="1"/>
  <c r="B88" i="1"/>
  <c r="G87" i="1"/>
  <c r="G86" i="1"/>
  <c r="G85" i="1"/>
  <c r="G84" i="1"/>
  <c r="G83" i="1"/>
  <c r="F82" i="1"/>
  <c r="E82" i="1"/>
  <c r="E80" i="1" s="1"/>
  <c r="E79" i="1" s="1"/>
  <c r="D82" i="1"/>
  <c r="G82" i="1" s="1"/>
  <c r="G80" i="1" s="1"/>
  <c r="C82" i="1"/>
  <c r="G81" i="1"/>
  <c r="F80" i="1"/>
  <c r="F79" i="1" s="1"/>
  <c r="C80" i="1"/>
  <c r="C79" i="1" s="1"/>
  <c r="B80" i="1"/>
  <c r="G77" i="1"/>
  <c r="G76" i="1"/>
  <c r="G75" i="1"/>
  <c r="G74" i="1"/>
  <c r="G73" i="1"/>
  <c r="G72" i="1"/>
  <c r="G71" i="1"/>
  <c r="F70" i="1"/>
  <c r="E70" i="1"/>
  <c r="D70" i="1"/>
  <c r="G70" i="1" s="1"/>
  <c r="C70" i="1"/>
  <c r="B70" i="1"/>
  <c r="G69" i="1"/>
  <c r="G68" i="1"/>
  <c r="G67" i="1"/>
  <c r="G66" i="1"/>
  <c r="F66" i="1"/>
  <c r="E66" i="1"/>
  <c r="D66" i="1"/>
  <c r="C66" i="1"/>
  <c r="B66" i="1"/>
  <c r="G65" i="1"/>
  <c r="G64" i="1"/>
  <c r="G63" i="1"/>
  <c r="G62" i="1"/>
  <c r="G61" i="1"/>
  <c r="G60" i="1"/>
  <c r="G59" i="1"/>
  <c r="G58" i="1"/>
  <c r="F57" i="1"/>
  <c r="E57" i="1"/>
  <c r="D57" i="1"/>
  <c r="G57" i="1" s="1"/>
  <c r="C57" i="1"/>
  <c r="B57" i="1"/>
  <c r="G56" i="1"/>
  <c r="G55" i="1"/>
  <c r="F54" i="1"/>
  <c r="E54" i="1"/>
  <c r="E53" i="1" s="1"/>
  <c r="D54" i="1"/>
  <c r="G54" i="1" s="1"/>
  <c r="C54" i="1"/>
  <c r="B54" i="1"/>
  <c r="F53" i="1"/>
  <c r="C53" i="1"/>
  <c r="B53" i="1"/>
  <c r="G52" i="1"/>
  <c r="G51" i="1"/>
  <c r="G50" i="1"/>
  <c r="G49" i="1"/>
  <c r="G48" i="1"/>
  <c r="G47" i="1"/>
  <c r="G46" i="1"/>
  <c r="G45" i="1"/>
  <c r="G44" i="1"/>
  <c r="F43" i="1"/>
  <c r="E43" i="1"/>
  <c r="D43" i="1"/>
  <c r="G43" i="1" s="1"/>
  <c r="C43" i="1"/>
  <c r="B43" i="1"/>
  <c r="G42" i="1"/>
  <c r="G41" i="1"/>
  <c r="G40" i="1"/>
  <c r="G39" i="1"/>
  <c r="G38" i="1"/>
  <c r="G37" i="1"/>
  <c r="G36" i="1"/>
  <c r="G35" i="1"/>
  <c r="G34" i="1"/>
  <c r="F33" i="1"/>
  <c r="E33" i="1"/>
  <c r="D33" i="1"/>
  <c r="G33" i="1" s="1"/>
  <c r="C33" i="1"/>
  <c r="B33" i="1"/>
  <c r="G32" i="1"/>
  <c r="G31" i="1"/>
  <c r="G30" i="1"/>
  <c r="G29" i="1"/>
  <c r="G28" i="1"/>
  <c r="F27" i="1"/>
  <c r="E27" i="1"/>
  <c r="D27" i="1"/>
  <c r="G27" i="1" s="1"/>
  <c r="C27" i="1"/>
  <c r="C23" i="1" s="1"/>
  <c r="B27" i="1"/>
  <c r="G26" i="1"/>
  <c r="G25" i="1"/>
  <c r="G24" i="1"/>
  <c r="F23" i="1"/>
  <c r="E23" i="1"/>
  <c r="B23" i="1"/>
  <c r="G22" i="1"/>
  <c r="D22" i="1"/>
  <c r="C22" i="1"/>
  <c r="G21" i="1"/>
  <c r="G20" i="1"/>
  <c r="D20" i="1"/>
  <c r="C20" i="1"/>
  <c r="G19" i="1"/>
  <c r="G18" i="1"/>
  <c r="D18" i="1"/>
  <c r="D13" i="1" s="1"/>
  <c r="G13" i="1" s="1"/>
  <c r="C18" i="1"/>
  <c r="F17" i="1"/>
  <c r="E17" i="1"/>
  <c r="G17" i="1" s="1"/>
  <c r="D17" i="1"/>
  <c r="C17" i="1"/>
  <c r="G16" i="1"/>
  <c r="G15" i="1"/>
  <c r="G14" i="1"/>
  <c r="F13" i="1"/>
  <c r="E13" i="1"/>
  <c r="C13" i="1"/>
  <c r="B13" i="1"/>
  <c r="G12" i="1"/>
  <c r="G11" i="1"/>
  <c r="G10" i="1"/>
  <c r="G9" i="1"/>
  <c r="G8" i="1"/>
  <c r="F7" i="1"/>
  <c r="F5" i="1" s="1"/>
  <c r="F4" i="1" s="1"/>
  <c r="F154" i="1" s="1"/>
  <c r="E7" i="1"/>
  <c r="E5" i="1" s="1"/>
  <c r="E4" i="1" s="1"/>
  <c r="E154" i="1" s="1"/>
  <c r="D7" i="1"/>
  <c r="G7" i="1" s="1"/>
  <c r="C7" i="1"/>
  <c r="B7" i="1"/>
  <c r="B5" i="1" s="1"/>
  <c r="B4" i="1" s="1"/>
  <c r="G6" i="1"/>
  <c r="D5" i="1"/>
  <c r="C5" i="1"/>
  <c r="C4" i="1" s="1"/>
  <c r="C154" i="1" s="1"/>
  <c r="G5" i="1" l="1"/>
  <c r="B154" i="1"/>
  <c r="B79" i="1"/>
  <c r="D53" i="1"/>
  <c r="G53" i="1" s="1"/>
  <c r="D80" i="1"/>
  <c r="D23" i="1"/>
  <c r="G23" i="1" s="1"/>
  <c r="D98" i="1"/>
  <c r="G98" i="1" s="1"/>
  <c r="G79" i="1" s="1"/>
  <c r="D79" i="1" l="1"/>
  <c r="G4" i="1"/>
  <c r="G154" i="1" s="1"/>
  <c r="D4" i="1"/>
  <c r="D154" i="1" s="1"/>
</calcChain>
</file>

<file path=xl/sharedStrings.xml><?xml version="1.0" encoding="utf-8"?>
<sst xmlns="http://schemas.openxmlformats.org/spreadsheetml/2006/main" count="158" uniqueCount="86">
  <si>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</si>
  <si>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</si>
  <si>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</si>
  <si>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</si>
  <si>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</si>
  <si>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</si>
  <si>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</si>
  <si>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</si>
  <si>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</si>
  <si>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</si>
  <si>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</si>
  <si>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</si>
  <si>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</si>
  <si>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</si>
  <si>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</si>
  <si>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</si>
  <si>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</si>
  <si>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</si>
  <si>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</si>
  <si>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</si>
  <si>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</si>
  <si>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</si>
  <si>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</si>
  <si>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</si>
  <si>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</si>
  <si>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</si>
  <si>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</si>
  <si>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</si>
  <si>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</si>
  <si>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</si>
  <si>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</si>
  <si>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</si>
  <si>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</si>
  <si>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</si>
  <si>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</si>
  <si>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</si>
  <si>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</si>
  <si>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</si>
  <si>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</si>
  <si>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</si>
  <si>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</si>
  <si>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</si>
  <si>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</si>
  <si>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</si>
  <si>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</si>
  <si>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</si>
  <si>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</si>
  <si>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</si>
  <si>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</si>
  <si>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</si>
  <si>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</si>
  <si>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</si>
  <si>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</si>
  <si>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</si>
  <si>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</si>
  <si>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</si>
  <si>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</si>
  <si>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</si>
  <si>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</si>
  <si>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</si>
  <si>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</si>
  <si>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</si>
  <si>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</si>
  <si>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</si>
  <si>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</si>
  <si>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</si>
  <si>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</si>
  <si>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</si>
  <si>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</si>
  <si>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</si>
  <si>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</si>
  <si>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</si>
  <si>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</si>
  <si>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</si>
  <si>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</si>
  <si>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</si>
  <si>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</si>
  <si>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</si>
  <si>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</si>
  <si>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</si>
  <si>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</si>
  <si>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</si>
  <si>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</si>
  <si>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</si>
  <si>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@se6#16</t>
  </si>
  <si>
    <t>MUNICIPIO DE VALLE DE SANTIAGO, GTO.                                                      
    Estado Analítico del Ejercicio del Presupuesto de Egresos Detallado - LDF
Clasificación por Objeto del Gasto (Capítulo y  (b)
Concepto)Del 1 de enero al 31 de diciembre  de 2016(PESOS)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</si>
</sst>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;\-#,##0.00;&quot; &quot;"/>
    <numFmt numFmtId="165" formatCode="#,##0;\-#,##0;&quot; &quot;"/>
    <numFmt numFmtId="166" formatCode="#,##0.00_ ;\-#,##0.00\ "/>
    <numFmt numFmtId="167" formatCode="#,##0.0_ ;\-#,##0.0\ "/>
  </numFmts>
  <fonts count="9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7" fillId="0" borderId="0"/>
  </cellStyleXfs>
  <cellXfs count="45">
    <xf numFmtId="0" fontId="0" fillId="0" borderId="0" xfId="0"/>
    <xf numFmtId="0" fontId="2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indent="1"/>
    </xf>
    <xf numFmtId="4" fontId="1" fillId="0" borderId="4" xfId="0" applyNumberFormat="1" applyFont="1" applyFill="1" applyBorder="1" applyAlignment="1">
      <alignment vertical="center"/>
    </xf>
    <xf numFmtId="0" fontId="6" fillId="0" borderId="0" xfId="0" applyFont="1" applyFill="1"/>
    <xf numFmtId="43" fontId="6" fillId="0" borderId="0" xfId="2" applyFont="1" applyFill="1"/>
    <xf numFmtId="4" fontId="6" fillId="0" borderId="0" xfId="0" applyNumberFormat="1" applyFont="1" applyFill="1"/>
    <xf numFmtId="0" fontId="2" fillId="0" borderId="7" xfId="0" applyFont="1" applyFill="1" applyBorder="1" applyAlignment="1">
      <alignment horizontal="left" vertical="center" indent="1"/>
    </xf>
    <xf numFmtId="4" fontId="1" fillId="0" borderId="7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indent="2"/>
    </xf>
    <xf numFmtId="4" fontId="2" fillId="0" borderId="7" xfId="0" applyNumberFormat="1" applyFont="1" applyFill="1" applyBorder="1" applyAlignment="1">
      <alignment vertical="center"/>
    </xf>
    <xf numFmtId="164" fontId="2" fillId="0" borderId="7" xfId="0" applyNumberFormat="1" applyFont="1" applyFill="1" applyBorder="1" applyProtection="1">
      <protection locked="0"/>
    </xf>
    <xf numFmtId="165" fontId="2" fillId="0" borderId="7" xfId="0" applyNumberFormat="1" applyFont="1" applyFill="1" applyBorder="1" applyProtection="1">
      <protection locked="0"/>
    </xf>
    <xf numFmtId="0" fontId="1" fillId="0" borderId="7" xfId="0" applyFont="1" applyFill="1" applyBorder="1" applyAlignment="1">
      <alignment horizontal="left" vertical="center" indent="1"/>
    </xf>
    <xf numFmtId="0" fontId="2" fillId="0" borderId="0" xfId="0" applyFont="1" applyFill="1"/>
    <xf numFmtId="166" fontId="2" fillId="0" borderId="0" xfId="0" applyNumberFormat="1" applyFont="1" applyFill="1"/>
    <xf numFmtId="167" fontId="2" fillId="0" borderId="0" xfId="0" applyNumberFormat="1" applyFont="1" applyFill="1"/>
    <xf numFmtId="43" fontId="2" fillId="0" borderId="0" xfId="2" applyFont="1" applyFill="1"/>
    <xf numFmtId="166" fontId="6" fillId="0" borderId="0" xfId="0" applyNumberFormat="1" applyFont="1" applyFill="1"/>
    <xf numFmtId="167" fontId="6" fillId="0" borderId="0" xfId="0" applyNumberFormat="1" applyFont="1" applyFill="1"/>
    <xf numFmtId="43" fontId="6" fillId="0" borderId="0" xfId="2" applyFont="1"/>
    <xf numFmtId="43" fontId="6" fillId="0" borderId="0" xfId="0" applyNumberFormat="1" applyFont="1"/>
    <xf numFmtId="0" fontId="8" fillId="0" borderId="0" xfId="3" applyFont="1" applyAlignment="1" applyProtection="1">
      <alignment vertical="top"/>
    </xf>
    <xf numFmtId="0" fontId="8" fillId="0" borderId="0" xfId="3" applyFont="1" applyAlignment="1" applyProtection="1">
      <alignment vertical="top" wrapText="1"/>
    </xf>
    <xf numFmtId="4" fontId="8" fillId="0" borderId="0" xfId="3" applyNumberFormat="1" applyFont="1" applyAlignment="1" applyProtection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 applyProtection="1">
      <alignment vertical="top"/>
      <protection locked="0"/>
    </xf>
    <xf numFmtId="0" fontId="8" fillId="0" borderId="0" xfId="3" applyFont="1" applyBorder="1" applyAlignment="1" applyProtection="1">
      <alignment vertical="top"/>
      <protection locked="0"/>
    </xf>
    <xf numFmtId="0" fontId="8" fillId="0" borderId="0" xfId="3" applyFont="1" applyBorder="1" applyAlignment="1" applyProtection="1">
      <alignment vertical="top" wrapText="1"/>
      <protection locked="0"/>
    </xf>
    <xf numFmtId="4" fontId="8" fillId="0" borderId="0" xfId="3" applyNumberFormat="1" applyFont="1" applyBorder="1" applyAlignment="1" applyProtection="1">
      <alignment vertical="top"/>
      <protection locked="0"/>
    </xf>
    <xf numFmtId="0" fontId="8" fillId="0" borderId="0" xfId="3" applyFont="1" applyFill="1" applyBorder="1" applyAlignment="1" applyProtection="1">
      <alignment vertical="top"/>
      <protection locked="0"/>
    </xf>
  </cellXfs>
  <cellStyles count="4">
    <cellStyle name="Millares" xfId="2" builtinId="3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2028825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2028825" cy="1000125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1600200</xdr:colOff>
      <xdr:row>1</xdr:row>
      <xdr:rowOff>0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68" t="348" r="70734" b="82956"/>
        <a:stretch>
          <a:fillRect/>
        </a:stretch>
      </xdr:blipFill>
      <xdr:spPr bwMode="auto">
        <a:xfrm>
          <a:off x="0" y="0"/>
          <a:ext cx="16002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2486026</xdr:colOff>
      <xdr:row>157</xdr:row>
      <xdr:rowOff>57150</xdr:rowOff>
    </xdr:from>
    <xdr:to>
      <xdr:col>1</xdr:col>
      <xdr:colOff>3038476</xdr:colOff>
      <xdr:row>159</xdr:row>
      <xdr:rowOff>19050</xdr:rowOff>
    </xdr:to>
    <xdr:sp macro="" textlink="">
      <xdr:nvSpPr>
        <xdr:cNvPr id="4" name="6 CuadroTexto"/>
        <xdr:cNvSpPr txBox="1"/>
      </xdr:nvSpPr>
      <xdr:spPr>
        <a:xfrm>
          <a:off x="6153151" y="25917525"/>
          <a:ext cx="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5"/>
  </cols>
  <sheetData>
    <row r="1" spans="1:2" x14ac:dyDescent="0.2">
      <c r="A1" s="4"/>
      <c r="B1" s="4"/>
    </row>
    <row r="2020" spans="1:1" x14ac:dyDescent="0.2">
      <c r="A2020" s="6" t="s">
        <v>84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"/>
  <sheetViews>
    <sheetView tabSelected="1" workbookViewId="0">
      <selection activeCell="A16" sqref="A16"/>
    </sheetView>
  </sheetViews>
  <sheetFormatPr baseColWidth="10" defaultRowHeight="12.75" x14ac:dyDescent="0.2"/>
  <cols>
    <col min="1" max="1" width="90.83203125" style="10" customWidth="1"/>
    <col min="2" max="7" width="16.83203125" style="10" customWidth="1"/>
    <col min="8" max="8" width="12.5" style="10" bestFit="1" customWidth="1"/>
    <col min="9" max="9" width="17.5" style="10" bestFit="1" customWidth="1"/>
    <col min="10" max="10" width="12.6640625" style="10" bestFit="1" customWidth="1"/>
    <col min="11" max="11" width="17.5" style="10" bestFit="1" customWidth="1"/>
    <col min="12" max="16384" width="12" style="10"/>
  </cols>
  <sheetData>
    <row r="1" spans="1:12" ht="63.75" customHeight="1" x14ac:dyDescent="0.2">
      <c r="A1" s="7" t="s">
        <v>85</v>
      </c>
      <c r="B1" s="8"/>
      <c r="C1" s="8"/>
      <c r="D1" s="8"/>
      <c r="E1" s="8"/>
      <c r="F1" s="8"/>
      <c r="G1" s="9"/>
    </row>
    <row r="2" spans="1:12" x14ac:dyDescent="0.2">
      <c r="A2" s="11"/>
      <c r="B2" s="12" t="s">
        <v>0</v>
      </c>
      <c r="C2" s="12"/>
      <c r="D2" s="12"/>
      <c r="E2" s="12"/>
      <c r="F2" s="12"/>
      <c r="G2" s="11"/>
    </row>
    <row r="3" spans="1:12" ht="22.5" x14ac:dyDescent="0.2">
      <c r="A3" s="13" t="s">
        <v>1</v>
      </c>
      <c r="B3" s="14" t="s">
        <v>2</v>
      </c>
      <c r="C3" s="15" t="s">
        <v>3</v>
      </c>
      <c r="D3" s="14" t="s">
        <v>4</v>
      </c>
      <c r="E3" s="14" t="s">
        <v>5</v>
      </c>
      <c r="F3" s="14" t="s">
        <v>6</v>
      </c>
      <c r="G3" s="13" t="s">
        <v>7</v>
      </c>
    </row>
    <row r="4" spans="1:12" s="18" customFormat="1" x14ac:dyDescent="0.2">
      <c r="A4" s="16" t="s">
        <v>8</v>
      </c>
      <c r="B4" s="17">
        <f>B5+B13+B23+B33+B43+B53+B57+B66+B70</f>
        <v>171094980.94000003</v>
      </c>
      <c r="C4" s="17">
        <f t="shared" ref="C4:F4" si="0">C5+C13+C23+C33+C43+C53+C57+C66+C70</f>
        <v>7676799.4199999999</v>
      </c>
      <c r="D4" s="17">
        <f t="shared" si="0"/>
        <v>178771780.36000001</v>
      </c>
      <c r="E4" s="17">
        <f>E5+E13+E23+E33+E43+E53+E57+E66+E70</f>
        <v>164599735.33000004</v>
      </c>
      <c r="F4" s="17">
        <f t="shared" si="0"/>
        <v>162402253.96000004</v>
      </c>
      <c r="G4" s="17">
        <f>G5+G13+G23+G33+G43+G53+G57+G66+G70</f>
        <v>14172045.029999994</v>
      </c>
      <c r="I4" s="19"/>
      <c r="J4" s="19"/>
      <c r="K4" s="19"/>
      <c r="L4" s="20"/>
    </row>
    <row r="5" spans="1:12" s="18" customFormat="1" x14ac:dyDescent="0.2">
      <c r="A5" s="21" t="s">
        <v>9</v>
      </c>
      <c r="B5" s="22">
        <f>SUM(B6:B12)</f>
        <v>89849943.290000007</v>
      </c>
      <c r="C5" s="22">
        <f t="shared" ref="C5:F5" si="1">SUM(C6:C12)</f>
        <v>2945958.42</v>
      </c>
      <c r="D5" s="22">
        <f t="shared" si="1"/>
        <v>92795901.710000008</v>
      </c>
      <c r="E5" s="22">
        <f t="shared" si="1"/>
        <v>90006258.210000023</v>
      </c>
      <c r="F5" s="22">
        <f t="shared" si="1"/>
        <v>89710894.700000018</v>
      </c>
      <c r="G5" s="22">
        <f>SUM(G6:G12)</f>
        <v>2789643.4999999925</v>
      </c>
    </row>
    <row r="6" spans="1:12" s="18" customFormat="1" x14ac:dyDescent="0.2">
      <c r="A6" s="23" t="s">
        <v>10</v>
      </c>
      <c r="B6" s="24">
        <v>51784565</v>
      </c>
      <c r="C6" s="24">
        <v>-7094</v>
      </c>
      <c r="D6" s="24">
        <v>51777471</v>
      </c>
      <c r="E6" s="24">
        <v>51374526.170000009</v>
      </c>
      <c r="F6" s="24">
        <v>51374526.170000009</v>
      </c>
      <c r="G6" s="24">
        <f>D6-E6</f>
        <v>402944.82999999076</v>
      </c>
      <c r="H6" s="20"/>
    </row>
    <row r="7" spans="1:12" s="18" customFormat="1" x14ac:dyDescent="0.2">
      <c r="A7" s="23" t="s">
        <v>11</v>
      </c>
      <c r="B7" s="24">
        <f>922600</f>
        <v>922600</v>
      </c>
      <c r="C7" s="24">
        <f>1950740.12+189120</f>
        <v>2139860.12</v>
      </c>
      <c r="D7" s="24">
        <f>2873340.12+189120</f>
        <v>3062460.12</v>
      </c>
      <c r="E7" s="24">
        <f>2770287.31+164900</f>
        <v>2935187.31</v>
      </c>
      <c r="F7" s="24">
        <f>2770287.31+164900</f>
        <v>2935187.31</v>
      </c>
      <c r="G7" s="24">
        <f t="shared" ref="G7:G12" si="2">D7-E7</f>
        <v>127272.81000000006</v>
      </c>
    </row>
    <row r="8" spans="1:12" s="18" customFormat="1" x14ac:dyDescent="0.2">
      <c r="A8" s="23" t="s">
        <v>12</v>
      </c>
      <c r="B8" s="24">
        <v>13978407</v>
      </c>
      <c r="C8" s="24">
        <v>-380102.49</v>
      </c>
      <c r="D8" s="24">
        <v>13598304.51</v>
      </c>
      <c r="E8" s="24">
        <v>13298282.379999997</v>
      </c>
      <c r="F8" s="24">
        <v>13298282.379999997</v>
      </c>
      <c r="G8" s="24">
        <f t="shared" si="2"/>
        <v>300022.13000000268</v>
      </c>
    </row>
    <row r="9" spans="1:12" s="18" customFormat="1" x14ac:dyDescent="0.2">
      <c r="A9" s="23" t="s">
        <v>13</v>
      </c>
      <c r="B9" s="24">
        <v>5288069.29</v>
      </c>
      <c r="C9" s="24">
        <v>0</v>
      </c>
      <c r="D9" s="24">
        <v>5288069.29</v>
      </c>
      <c r="E9" s="24">
        <v>3817791.18</v>
      </c>
      <c r="F9" s="24">
        <v>3522427.67</v>
      </c>
      <c r="G9" s="24">
        <f t="shared" si="2"/>
        <v>1470278.1099999999</v>
      </c>
    </row>
    <row r="10" spans="1:12" s="18" customFormat="1" x14ac:dyDescent="0.2">
      <c r="A10" s="23" t="s">
        <v>14</v>
      </c>
      <c r="B10" s="24">
        <v>11304622</v>
      </c>
      <c r="C10" s="24">
        <v>1193294.79</v>
      </c>
      <c r="D10" s="24">
        <v>12497916.789999999</v>
      </c>
      <c r="E10" s="24">
        <v>12065593.469999999</v>
      </c>
      <c r="F10" s="24">
        <v>12065593.469999999</v>
      </c>
      <c r="G10" s="24">
        <f t="shared" si="2"/>
        <v>432323.3200000003</v>
      </c>
    </row>
    <row r="11" spans="1:12" s="18" customFormat="1" x14ac:dyDescent="0.2">
      <c r="A11" s="23" t="s">
        <v>15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f t="shared" si="2"/>
        <v>0</v>
      </c>
    </row>
    <row r="12" spans="1:12" s="18" customFormat="1" x14ac:dyDescent="0.2">
      <c r="A12" s="23" t="s">
        <v>16</v>
      </c>
      <c r="B12" s="24">
        <v>6571680</v>
      </c>
      <c r="C12" s="24">
        <v>0</v>
      </c>
      <c r="D12" s="24">
        <v>6571680</v>
      </c>
      <c r="E12" s="24">
        <v>6514877.7000000011</v>
      </c>
      <c r="F12" s="24">
        <v>6514877.7000000011</v>
      </c>
      <c r="G12" s="24">
        <f t="shared" si="2"/>
        <v>56802.299999998882</v>
      </c>
    </row>
    <row r="13" spans="1:12" s="18" customFormat="1" x14ac:dyDescent="0.2">
      <c r="A13" s="21" t="s">
        <v>17</v>
      </c>
      <c r="B13" s="22">
        <f>SUM(B14:B22)</f>
        <v>11160158.459999999</v>
      </c>
      <c r="C13" s="22">
        <f t="shared" ref="C13:F13" si="3">SUM(C14:C22)</f>
        <v>-303969.47000000026</v>
      </c>
      <c r="D13" s="22">
        <f>SUM(D14:D22)</f>
        <v>10856188.990000002</v>
      </c>
      <c r="E13" s="22">
        <f>SUM(E14:E22)</f>
        <v>9117510.7100000009</v>
      </c>
      <c r="F13" s="22">
        <f t="shared" si="3"/>
        <v>8935562.6699999999</v>
      </c>
      <c r="G13" s="22">
        <f>D13-E13</f>
        <v>1738678.2800000012</v>
      </c>
    </row>
    <row r="14" spans="1:12" s="18" customFormat="1" x14ac:dyDescent="0.2">
      <c r="A14" s="23" t="s">
        <v>18</v>
      </c>
      <c r="B14" s="24">
        <v>2785281</v>
      </c>
      <c r="C14" s="24">
        <v>-343473.64000000013</v>
      </c>
      <c r="D14" s="24">
        <v>2441807.3600000003</v>
      </c>
      <c r="E14" s="24">
        <v>1936718.3599999999</v>
      </c>
      <c r="F14" s="24">
        <v>1936338.3599999999</v>
      </c>
      <c r="G14" s="24">
        <f>D14-E14</f>
        <v>505089.00000000047</v>
      </c>
    </row>
    <row r="15" spans="1:12" s="18" customFormat="1" x14ac:dyDescent="0.2">
      <c r="A15" s="23" t="s">
        <v>19</v>
      </c>
      <c r="B15" s="24">
        <v>1179436.47</v>
      </c>
      <c r="C15" s="24">
        <v>-509864.11000000004</v>
      </c>
      <c r="D15" s="24">
        <v>669572.36</v>
      </c>
      <c r="E15" s="24">
        <v>500970.18</v>
      </c>
      <c r="F15" s="24">
        <v>494937.19000000006</v>
      </c>
      <c r="G15" s="24">
        <f t="shared" ref="G15:G77" si="4">D15-E15</f>
        <v>168602.18</v>
      </c>
    </row>
    <row r="16" spans="1:12" s="18" customFormat="1" x14ac:dyDescent="0.2">
      <c r="A16" s="23" t="s">
        <v>20</v>
      </c>
      <c r="B16" s="24">
        <v>900</v>
      </c>
      <c r="C16" s="24">
        <v>-900</v>
      </c>
      <c r="D16" s="24">
        <v>0</v>
      </c>
      <c r="E16" s="24">
        <v>0</v>
      </c>
      <c r="F16" s="24">
        <v>0</v>
      </c>
      <c r="G16" s="24">
        <f t="shared" si="4"/>
        <v>0</v>
      </c>
    </row>
    <row r="17" spans="1:7" s="18" customFormat="1" x14ac:dyDescent="0.2">
      <c r="A17" s="23" t="s">
        <v>21</v>
      </c>
      <c r="B17" s="24">
        <v>2171718</v>
      </c>
      <c r="C17" s="24">
        <f>555871.77+212630</f>
        <v>768501.77</v>
      </c>
      <c r="D17" s="24">
        <f>2727589.77+212630</f>
        <v>2940219.77</v>
      </c>
      <c r="E17" s="24">
        <f>2492595.12+91980.63</f>
        <v>2584575.75</v>
      </c>
      <c r="F17" s="24">
        <f>2377368.59+91980.63</f>
        <v>2469349.2199999997</v>
      </c>
      <c r="G17" s="24">
        <f t="shared" si="4"/>
        <v>355644.02</v>
      </c>
    </row>
    <row r="18" spans="1:7" s="18" customFormat="1" x14ac:dyDescent="0.2">
      <c r="A18" s="23" t="s">
        <v>22</v>
      </c>
      <c r="B18" s="24">
        <v>566974</v>
      </c>
      <c r="C18" s="24">
        <f>-110927.07+90049.7</f>
        <v>-20877.37000000001</v>
      </c>
      <c r="D18" s="24">
        <f>456046.93+90049.7</f>
        <v>546096.63</v>
      </c>
      <c r="E18" s="24">
        <v>390983.67000000004</v>
      </c>
      <c r="F18" s="24">
        <v>389837.67000000004</v>
      </c>
      <c r="G18" s="24">
        <f t="shared" si="4"/>
        <v>155112.95999999996</v>
      </c>
    </row>
    <row r="19" spans="1:7" s="18" customFormat="1" x14ac:dyDescent="0.2">
      <c r="A19" s="23" t="s">
        <v>23</v>
      </c>
      <c r="B19" s="24">
        <v>2276700</v>
      </c>
      <c r="C19" s="24">
        <v>-329999.90000000002</v>
      </c>
      <c r="D19" s="24">
        <v>1946700.1</v>
      </c>
      <c r="E19" s="24">
        <v>1914284.63</v>
      </c>
      <c r="F19" s="24">
        <v>1855476.1099999999</v>
      </c>
      <c r="G19" s="24">
        <f t="shared" si="4"/>
        <v>32415.470000000205</v>
      </c>
    </row>
    <row r="20" spans="1:7" s="18" customFormat="1" x14ac:dyDescent="0.2">
      <c r="A20" s="23" t="s">
        <v>24</v>
      </c>
      <c r="B20" s="24">
        <v>1401858</v>
      </c>
      <c r="C20" s="24">
        <f>-192134.53+1000</f>
        <v>-191134.53</v>
      </c>
      <c r="D20" s="24">
        <f>1209723.47+1000</f>
        <v>1210723.47</v>
      </c>
      <c r="E20" s="24">
        <v>806196.73</v>
      </c>
      <c r="F20" s="24">
        <v>805842.73</v>
      </c>
      <c r="G20" s="24">
        <f t="shared" si="4"/>
        <v>404526.74</v>
      </c>
    </row>
    <row r="21" spans="1:7" s="18" customFormat="1" x14ac:dyDescent="0.2">
      <c r="A21" s="23" t="s">
        <v>25</v>
      </c>
      <c r="B21" s="24">
        <v>10000</v>
      </c>
      <c r="C21" s="24">
        <v>-10000</v>
      </c>
      <c r="D21" s="24">
        <v>0</v>
      </c>
      <c r="E21" s="24">
        <v>0</v>
      </c>
      <c r="F21" s="24">
        <v>0</v>
      </c>
      <c r="G21" s="24">
        <f t="shared" si="4"/>
        <v>0</v>
      </c>
    </row>
    <row r="22" spans="1:7" s="18" customFormat="1" x14ac:dyDescent="0.2">
      <c r="A22" s="23" t="s">
        <v>26</v>
      </c>
      <c r="B22" s="24">
        <v>767290.99</v>
      </c>
      <c r="C22" s="24">
        <f>332778.31+1000</f>
        <v>333778.31</v>
      </c>
      <c r="D22" s="24">
        <f>1100069.3+1000</f>
        <v>1101069.3</v>
      </c>
      <c r="E22" s="24">
        <v>983781.39000000013</v>
      </c>
      <c r="F22" s="24">
        <v>983781.39000000013</v>
      </c>
      <c r="G22" s="24">
        <f t="shared" si="4"/>
        <v>117287.90999999992</v>
      </c>
    </row>
    <row r="23" spans="1:7" s="18" customFormat="1" x14ac:dyDescent="0.2">
      <c r="A23" s="21" t="s">
        <v>27</v>
      </c>
      <c r="B23" s="22">
        <f>SUM(B24:B32)</f>
        <v>35106881.540000007</v>
      </c>
      <c r="C23" s="22">
        <f t="shared" ref="C23:F23" si="5">SUM(C24:C32)</f>
        <v>-7951280.4899999984</v>
      </c>
      <c r="D23" s="22">
        <f t="shared" si="5"/>
        <v>27155601.050000001</v>
      </c>
      <c r="E23" s="22">
        <f t="shared" si="5"/>
        <v>23000359.080000002</v>
      </c>
      <c r="F23" s="22">
        <f t="shared" si="5"/>
        <v>21371679.32</v>
      </c>
      <c r="G23" s="22">
        <f t="shared" si="4"/>
        <v>4155241.9699999988</v>
      </c>
    </row>
    <row r="24" spans="1:7" s="18" customFormat="1" x14ac:dyDescent="0.2">
      <c r="A24" s="23" t="s">
        <v>28</v>
      </c>
      <c r="B24" s="24">
        <v>24272910</v>
      </c>
      <c r="C24" s="24">
        <v>-14875955.069999998</v>
      </c>
      <c r="D24" s="24">
        <v>9396954.9299999997</v>
      </c>
      <c r="E24" s="24">
        <v>8961506.4600000009</v>
      </c>
      <c r="F24" s="24">
        <v>8910902.0899999999</v>
      </c>
      <c r="G24" s="24">
        <f>D24-E24</f>
        <v>435448.46999999881</v>
      </c>
    </row>
    <row r="25" spans="1:7" s="18" customFormat="1" x14ac:dyDescent="0.2">
      <c r="A25" s="23" t="s">
        <v>29</v>
      </c>
      <c r="B25" s="24">
        <v>488770</v>
      </c>
      <c r="C25" s="24">
        <v>-203683.76</v>
      </c>
      <c r="D25" s="24">
        <v>285086.24</v>
      </c>
      <c r="E25" s="24">
        <v>226002.92</v>
      </c>
      <c r="F25" s="24">
        <v>226002.92</v>
      </c>
      <c r="G25" s="24">
        <f t="shared" ref="G25:G32" si="6">D25-E25</f>
        <v>59083.319999999978</v>
      </c>
    </row>
    <row r="26" spans="1:7" s="18" customFormat="1" x14ac:dyDescent="0.2">
      <c r="A26" s="23" t="s">
        <v>30</v>
      </c>
      <c r="B26" s="24">
        <v>3131125</v>
      </c>
      <c r="C26" s="24">
        <v>-211040.63</v>
      </c>
      <c r="D26" s="24">
        <v>2920084.3700000006</v>
      </c>
      <c r="E26" s="24">
        <v>2499679.5200000005</v>
      </c>
      <c r="F26" s="24">
        <v>2495678.4200000009</v>
      </c>
      <c r="G26" s="24">
        <f t="shared" si="6"/>
        <v>420404.85000000009</v>
      </c>
    </row>
    <row r="27" spans="1:7" s="18" customFormat="1" x14ac:dyDescent="0.2">
      <c r="A27" s="23" t="s">
        <v>31</v>
      </c>
      <c r="B27" s="24">
        <f>341362+30000</f>
        <v>371362</v>
      </c>
      <c r="C27" s="24">
        <f>-216207.53+30000</f>
        <v>-186207.53</v>
      </c>
      <c r="D27" s="24">
        <f>125154.47+60000</f>
        <v>185154.47</v>
      </c>
      <c r="E27" s="24">
        <f>93939.68+27407.54</f>
        <v>121347.22</v>
      </c>
      <c r="F27" s="24">
        <f>93939.68+27407.54</f>
        <v>121347.22</v>
      </c>
      <c r="G27" s="24">
        <f t="shared" si="6"/>
        <v>63807.25</v>
      </c>
    </row>
    <row r="28" spans="1:7" s="18" customFormat="1" x14ac:dyDescent="0.2">
      <c r="A28" s="23" t="s">
        <v>32</v>
      </c>
      <c r="B28" s="24">
        <v>647407.01</v>
      </c>
      <c r="C28" s="24">
        <v>-232592.12000000002</v>
      </c>
      <c r="D28" s="24">
        <v>414814.89</v>
      </c>
      <c r="E28" s="24">
        <v>252554.43</v>
      </c>
      <c r="F28" s="24">
        <v>252554.43</v>
      </c>
      <c r="G28" s="24">
        <f t="shared" si="6"/>
        <v>162260.46000000002</v>
      </c>
    </row>
    <row r="29" spans="1:7" s="18" customFormat="1" x14ac:dyDescent="0.2">
      <c r="A29" s="23" t="s">
        <v>33</v>
      </c>
      <c r="B29" s="24">
        <v>1536274</v>
      </c>
      <c r="C29" s="24">
        <v>-7985.7299999999959</v>
      </c>
      <c r="D29" s="24">
        <v>1528288.27</v>
      </c>
      <c r="E29" s="24">
        <v>1477992.88</v>
      </c>
      <c r="F29" s="24">
        <v>1477992.88</v>
      </c>
      <c r="G29" s="24">
        <f t="shared" si="6"/>
        <v>50295.39000000013</v>
      </c>
    </row>
    <row r="30" spans="1:7" s="18" customFormat="1" x14ac:dyDescent="0.2">
      <c r="A30" s="23" t="s">
        <v>34</v>
      </c>
      <c r="B30" s="24">
        <v>220576.53</v>
      </c>
      <c r="C30" s="24">
        <v>44695.74</v>
      </c>
      <c r="D30" s="24">
        <v>265272.27</v>
      </c>
      <c r="E30" s="24">
        <v>159368.76999999999</v>
      </c>
      <c r="F30" s="24">
        <v>159368.76999999999</v>
      </c>
      <c r="G30" s="24">
        <f t="shared" si="6"/>
        <v>105903.50000000003</v>
      </c>
    </row>
    <row r="31" spans="1:7" s="18" customFormat="1" x14ac:dyDescent="0.2">
      <c r="A31" s="23" t="s">
        <v>35</v>
      </c>
      <c r="B31" s="24">
        <v>713269</v>
      </c>
      <c r="C31" s="24">
        <v>661557.6</v>
      </c>
      <c r="D31" s="24">
        <v>1374826.6</v>
      </c>
      <c r="E31" s="24">
        <v>1013254.86</v>
      </c>
      <c r="F31" s="24">
        <v>1005774.86</v>
      </c>
      <c r="G31" s="24">
        <f t="shared" si="6"/>
        <v>361571.74000000011</v>
      </c>
    </row>
    <row r="32" spans="1:7" s="18" customFormat="1" x14ac:dyDescent="0.2">
      <c r="A32" s="23" t="s">
        <v>36</v>
      </c>
      <c r="B32" s="24">
        <v>3725188</v>
      </c>
      <c r="C32" s="24">
        <v>7059931.0099999998</v>
      </c>
      <c r="D32" s="24">
        <v>10785119.01</v>
      </c>
      <c r="E32" s="24">
        <v>8288652.0199999996</v>
      </c>
      <c r="F32" s="24">
        <v>6722057.7299999995</v>
      </c>
      <c r="G32" s="24">
        <f t="shared" si="6"/>
        <v>2496466.9900000002</v>
      </c>
    </row>
    <row r="33" spans="1:7" s="18" customFormat="1" x14ac:dyDescent="0.2">
      <c r="A33" s="21" t="s">
        <v>37</v>
      </c>
      <c r="B33" s="22">
        <f>SUM(B34:B42)</f>
        <v>24267500.710000001</v>
      </c>
      <c r="C33" s="22">
        <f t="shared" ref="C33:F33" si="7">SUM(C34:C42)</f>
        <v>610227.17000000004</v>
      </c>
      <c r="D33" s="22">
        <f t="shared" si="7"/>
        <v>24877727.880000003</v>
      </c>
      <c r="E33" s="22">
        <f t="shared" si="7"/>
        <v>24175160.260000002</v>
      </c>
      <c r="F33" s="22">
        <f t="shared" si="7"/>
        <v>24090177.52</v>
      </c>
      <c r="G33" s="22">
        <f t="shared" si="4"/>
        <v>702567.62000000104</v>
      </c>
    </row>
    <row r="34" spans="1:7" s="18" customFormat="1" x14ac:dyDescent="0.2">
      <c r="A34" s="23" t="s">
        <v>38</v>
      </c>
      <c r="B34" s="24"/>
      <c r="C34" s="24"/>
      <c r="D34" s="24"/>
      <c r="E34" s="24"/>
      <c r="F34" s="24"/>
      <c r="G34" s="24">
        <f t="shared" si="4"/>
        <v>0</v>
      </c>
    </row>
    <row r="35" spans="1:7" s="18" customFormat="1" x14ac:dyDescent="0.2">
      <c r="A35" s="23" t="s">
        <v>39</v>
      </c>
      <c r="B35" s="25">
        <v>9970167.9600000009</v>
      </c>
      <c r="C35" s="25">
        <v>0</v>
      </c>
      <c r="D35" s="25">
        <v>9970167.9600000009</v>
      </c>
      <c r="E35" s="25">
        <v>9970167.9600000009</v>
      </c>
      <c r="F35" s="25">
        <v>9970167.9600000009</v>
      </c>
      <c r="G35" s="24">
        <f t="shared" si="4"/>
        <v>0</v>
      </c>
    </row>
    <row r="36" spans="1:7" s="18" customFormat="1" x14ac:dyDescent="0.2">
      <c r="A36" s="23" t="s">
        <v>40</v>
      </c>
      <c r="B36" s="25">
        <v>50000</v>
      </c>
      <c r="C36" s="25">
        <v>172587.46</v>
      </c>
      <c r="D36" s="25">
        <v>222587.46</v>
      </c>
      <c r="E36" s="25">
        <v>66231.91</v>
      </c>
      <c r="F36" s="25">
        <v>66231.91</v>
      </c>
      <c r="G36" s="24">
        <f t="shared" si="4"/>
        <v>156355.54999999999</v>
      </c>
    </row>
    <row r="37" spans="1:7" s="18" customFormat="1" x14ac:dyDescent="0.2">
      <c r="A37" s="23" t="s">
        <v>41</v>
      </c>
      <c r="B37" s="25">
        <v>10737154.75</v>
      </c>
      <c r="C37" s="25">
        <v>437639.71</v>
      </c>
      <c r="D37" s="25">
        <v>11174794.459999999</v>
      </c>
      <c r="E37" s="25">
        <v>10633180.449999999</v>
      </c>
      <c r="F37" s="25">
        <v>10548197.709999999</v>
      </c>
      <c r="G37" s="24">
        <f t="shared" si="4"/>
        <v>541614.00999999978</v>
      </c>
    </row>
    <row r="38" spans="1:7" s="18" customFormat="1" x14ac:dyDescent="0.2">
      <c r="A38" s="23" t="s">
        <v>42</v>
      </c>
      <c r="B38" s="25">
        <v>3510178</v>
      </c>
      <c r="C38" s="26">
        <v>0</v>
      </c>
      <c r="D38" s="25">
        <v>3510178</v>
      </c>
      <c r="E38" s="25">
        <v>3505579.94</v>
      </c>
      <c r="F38" s="25">
        <v>3505579.94</v>
      </c>
      <c r="G38" s="24">
        <f t="shared" si="4"/>
        <v>4598.0600000000559</v>
      </c>
    </row>
    <row r="39" spans="1:7" s="18" customFormat="1" x14ac:dyDescent="0.2">
      <c r="A39" s="23" t="s">
        <v>43</v>
      </c>
      <c r="B39" s="24"/>
      <c r="C39" s="24"/>
      <c r="D39" s="24"/>
      <c r="E39" s="24"/>
      <c r="F39" s="24"/>
      <c r="G39" s="24">
        <f t="shared" si="4"/>
        <v>0</v>
      </c>
    </row>
    <row r="40" spans="1:7" s="18" customFormat="1" x14ac:dyDescent="0.2">
      <c r="A40" s="23" t="s">
        <v>44</v>
      </c>
      <c r="B40" s="24"/>
      <c r="C40" s="24"/>
      <c r="D40" s="24"/>
      <c r="E40" s="24"/>
      <c r="F40" s="24"/>
      <c r="G40" s="24">
        <f t="shared" si="4"/>
        <v>0</v>
      </c>
    </row>
    <row r="41" spans="1:7" s="18" customFormat="1" x14ac:dyDescent="0.2">
      <c r="A41" s="23" t="s">
        <v>45</v>
      </c>
      <c r="B41" s="24"/>
      <c r="C41" s="24"/>
      <c r="D41" s="24"/>
      <c r="E41" s="24"/>
      <c r="F41" s="24"/>
      <c r="G41" s="24">
        <f t="shared" si="4"/>
        <v>0</v>
      </c>
    </row>
    <row r="42" spans="1:7" s="18" customFormat="1" x14ac:dyDescent="0.2">
      <c r="A42" s="23" t="s">
        <v>46</v>
      </c>
      <c r="B42" s="24"/>
      <c r="C42" s="24"/>
      <c r="D42" s="24"/>
      <c r="E42" s="24"/>
      <c r="F42" s="24"/>
      <c r="G42" s="24">
        <f t="shared" si="4"/>
        <v>0</v>
      </c>
    </row>
    <row r="43" spans="1:7" s="18" customFormat="1" x14ac:dyDescent="0.2">
      <c r="A43" s="21" t="s">
        <v>47</v>
      </c>
      <c r="B43" s="22">
        <f>SUM(B44:B52)</f>
        <v>1066966</v>
      </c>
      <c r="C43" s="22">
        <f t="shared" ref="C43:F43" si="8">SUM(C44:C52)</f>
        <v>4113735.89</v>
      </c>
      <c r="D43" s="22">
        <f t="shared" si="8"/>
        <v>5180701.8899999997</v>
      </c>
      <c r="E43" s="22">
        <f t="shared" si="8"/>
        <v>5043402.55</v>
      </c>
      <c r="F43" s="22">
        <f t="shared" si="8"/>
        <v>5036895.2299999995</v>
      </c>
      <c r="G43" s="22">
        <f t="shared" si="4"/>
        <v>137299.33999999985</v>
      </c>
    </row>
    <row r="44" spans="1:7" s="18" customFormat="1" x14ac:dyDescent="0.2">
      <c r="A44" s="23" t="s">
        <v>48</v>
      </c>
      <c r="B44" s="25">
        <v>867032</v>
      </c>
      <c r="C44" s="25">
        <v>-111851.14000000001</v>
      </c>
      <c r="D44" s="25">
        <v>755180.86</v>
      </c>
      <c r="E44" s="25">
        <v>635895.74</v>
      </c>
      <c r="F44" s="25">
        <v>629388.42000000004</v>
      </c>
      <c r="G44" s="24">
        <f t="shared" si="4"/>
        <v>119285.12</v>
      </c>
    </row>
    <row r="45" spans="1:7" s="18" customFormat="1" x14ac:dyDescent="0.2">
      <c r="A45" s="23" t="s">
        <v>49</v>
      </c>
      <c r="B45" s="25">
        <v>133449</v>
      </c>
      <c r="C45" s="25">
        <v>31564.029999999992</v>
      </c>
      <c r="D45" s="25">
        <v>165013.03000000003</v>
      </c>
      <c r="E45" s="25">
        <v>156344.04999999999</v>
      </c>
      <c r="F45" s="25">
        <v>156344.04999999999</v>
      </c>
      <c r="G45" s="24">
        <f t="shared" si="4"/>
        <v>8668.9800000000396</v>
      </c>
    </row>
    <row r="46" spans="1:7" s="18" customFormat="1" x14ac:dyDescent="0.2">
      <c r="A46" s="23" t="s">
        <v>50</v>
      </c>
      <c r="B46" s="26"/>
      <c r="C46" s="26"/>
      <c r="D46" s="26"/>
      <c r="E46" s="25"/>
      <c r="F46" s="26"/>
      <c r="G46" s="24">
        <f t="shared" si="4"/>
        <v>0</v>
      </c>
    </row>
    <row r="47" spans="1:7" s="18" customFormat="1" x14ac:dyDescent="0.2">
      <c r="A47" s="23" t="s">
        <v>51</v>
      </c>
      <c r="B47" s="25">
        <v>32000</v>
      </c>
      <c r="C47" s="25">
        <v>4123350</v>
      </c>
      <c r="D47" s="25">
        <v>4155350</v>
      </c>
      <c r="E47" s="25">
        <v>4155350</v>
      </c>
      <c r="F47" s="25">
        <v>4155350</v>
      </c>
      <c r="G47" s="24">
        <f t="shared" si="4"/>
        <v>0</v>
      </c>
    </row>
    <row r="48" spans="1:7" s="18" customFormat="1" x14ac:dyDescent="0.2">
      <c r="A48" s="23" t="s">
        <v>52</v>
      </c>
      <c r="B48" s="26"/>
      <c r="C48" s="26"/>
      <c r="D48" s="26"/>
      <c r="E48" s="25"/>
      <c r="F48" s="25"/>
      <c r="G48" s="24">
        <f t="shared" si="4"/>
        <v>0</v>
      </c>
    </row>
    <row r="49" spans="1:7" s="18" customFormat="1" x14ac:dyDescent="0.2">
      <c r="A49" s="23" t="s">
        <v>53</v>
      </c>
      <c r="B49" s="25">
        <v>31485</v>
      </c>
      <c r="C49" s="25">
        <v>70673</v>
      </c>
      <c r="D49" s="25">
        <v>102158</v>
      </c>
      <c r="E49" s="25">
        <v>95812.76</v>
      </c>
      <c r="F49" s="25">
        <v>95812.76</v>
      </c>
      <c r="G49" s="24">
        <f t="shared" si="4"/>
        <v>6345.2400000000052</v>
      </c>
    </row>
    <row r="50" spans="1:7" s="18" customFormat="1" x14ac:dyDescent="0.2">
      <c r="A50" s="23" t="s">
        <v>54</v>
      </c>
      <c r="B50" s="26"/>
      <c r="C50" s="26"/>
      <c r="D50" s="26"/>
      <c r="E50" s="25"/>
      <c r="F50" s="26"/>
      <c r="G50" s="24">
        <f t="shared" si="4"/>
        <v>0</v>
      </c>
    </row>
    <row r="51" spans="1:7" s="18" customFormat="1" x14ac:dyDescent="0.2">
      <c r="A51" s="23" t="s">
        <v>55</v>
      </c>
      <c r="B51" s="26"/>
      <c r="C51" s="26"/>
      <c r="D51" s="26"/>
      <c r="E51" s="25"/>
      <c r="F51" s="26"/>
      <c r="G51" s="24">
        <f t="shared" si="4"/>
        <v>0</v>
      </c>
    </row>
    <row r="52" spans="1:7" s="18" customFormat="1" x14ac:dyDescent="0.2">
      <c r="A52" s="23" t="s">
        <v>56</v>
      </c>
      <c r="B52" s="25">
        <v>3000</v>
      </c>
      <c r="C52" s="25">
        <v>0</v>
      </c>
      <c r="D52" s="25">
        <v>3000</v>
      </c>
      <c r="E52" s="25">
        <v>0</v>
      </c>
      <c r="F52" s="26">
        <v>0</v>
      </c>
      <c r="G52" s="24">
        <f t="shared" si="4"/>
        <v>3000</v>
      </c>
    </row>
    <row r="53" spans="1:7" s="18" customFormat="1" x14ac:dyDescent="0.2">
      <c r="A53" s="21" t="s">
        <v>57</v>
      </c>
      <c r="B53" s="22">
        <f>SUM(B54:B56)</f>
        <v>9643530.9399999995</v>
      </c>
      <c r="C53" s="22">
        <f t="shared" ref="C53:F53" si="9">SUM(C54:C56)</f>
        <v>8262127.8999999994</v>
      </c>
      <c r="D53" s="22">
        <f t="shared" si="9"/>
        <v>17905658.84</v>
      </c>
      <c r="E53" s="22">
        <f t="shared" si="9"/>
        <v>13257044.52</v>
      </c>
      <c r="F53" s="22">
        <f t="shared" si="9"/>
        <v>13257044.52</v>
      </c>
      <c r="G53" s="22">
        <f t="shared" si="4"/>
        <v>4648614.32</v>
      </c>
    </row>
    <row r="54" spans="1:7" s="18" customFormat="1" x14ac:dyDescent="0.2">
      <c r="A54" s="23" t="s">
        <v>58</v>
      </c>
      <c r="B54" s="25">
        <f>8496000+281265.9+183700.85+682564.19</f>
        <v>9643530.9399999995</v>
      </c>
      <c r="C54" s="25">
        <f>5459437.97+3656831.38+104625-281265.9-183700.85-493799.7</f>
        <v>8262127.8999999994</v>
      </c>
      <c r="D54" s="25">
        <f>13955437.97+3656831.38+104625+188764.49</f>
        <v>17905658.84</v>
      </c>
      <c r="E54" s="25">
        <f>12150216.23+919224.69+187603.6</f>
        <v>13257044.52</v>
      </c>
      <c r="F54" s="25">
        <f>12150216.23+919224.69+187603.6</f>
        <v>13257044.52</v>
      </c>
      <c r="G54" s="24">
        <f t="shared" si="4"/>
        <v>4648614.32</v>
      </c>
    </row>
    <row r="55" spans="1:7" s="18" customFormat="1" x14ac:dyDescent="0.2">
      <c r="A55" s="23" t="s">
        <v>59</v>
      </c>
      <c r="B55" s="24"/>
      <c r="C55" s="24"/>
      <c r="D55" s="24"/>
      <c r="E55" s="24"/>
      <c r="F55" s="24"/>
      <c r="G55" s="24">
        <f t="shared" si="4"/>
        <v>0</v>
      </c>
    </row>
    <row r="56" spans="1:7" s="18" customFormat="1" x14ac:dyDescent="0.2">
      <c r="A56" s="23" t="s">
        <v>60</v>
      </c>
      <c r="B56" s="24"/>
      <c r="C56" s="24"/>
      <c r="D56" s="24"/>
      <c r="E56" s="24"/>
      <c r="F56" s="24"/>
      <c r="G56" s="24">
        <f t="shared" si="4"/>
        <v>0</v>
      </c>
    </row>
    <row r="57" spans="1:7" s="18" customFormat="1" x14ac:dyDescent="0.2">
      <c r="A57" s="21" t="s">
        <v>61</v>
      </c>
      <c r="B57" s="22">
        <f>SUM(B58:B65)</f>
        <v>0</v>
      </c>
      <c r="C57" s="22">
        <f t="shared" ref="C57:F57" si="10">SUM(C58:C65)</f>
        <v>0</v>
      </c>
      <c r="D57" s="22">
        <f t="shared" si="10"/>
        <v>0</v>
      </c>
      <c r="E57" s="22">
        <f t="shared" si="10"/>
        <v>0</v>
      </c>
      <c r="F57" s="22">
        <f t="shared" si="10"/>
        <v>0</v>
      </c>
      <c r="G57" s="22">
        <f t="shared" si="4"/>
        <v>0</v>
      </c>
    </row>
    <row r="58" spans="1:7" s="18" customFormat="1" x14ac:dyDescent="0.2">
      <c r="A58" s="23" t="s">
        <v>62</v>
      </c>
      <c r="B58" s="24"/>
      <c r="C58" s="24"/>
      <c r="D58" s="24"/>
      <c r="E58" s="24"/>
      <c r="F58" s="24"/>
      <c r="G58" s="24">
        <f t="shared" si="4"/>
        <v>0</v>
      </c>
    </row>
    <row r="59" spans="1:7" s="18" customFormat="1" x14ac:dyDescent="0.2">
      <c r="A59" s="23" t="s">
        <v>63</v>
      </c>
      <c r="B59" s="24"/>
      <c r="C59" s="24"/>
      <c r="D59" s="24"/>
      <c r="E59" s="24"/>
      <c r="F59" s="24"/>
      <c r="G59" s="24">
        <f t="shared" si="4"/>
        <v>0</v>
      </c>
    </row>
    <row r="60" spans="1:7" s="18" customFormat="1" x14ac:dyDescent="0.2">
      <c r="A60" s="23" t="s">
        <v>64</v>
      </c>
      <c r="B60" s="24"/>
      <c r="C60" s="24"/>
      <c r="D60" s="24"/>
      <c r="E60" s="24"/>
      <c r="F60" s="24"/>
      <c r="G60" s="24">
        <f t="shared" si="4"/>
        <v>0</v>
      </c>
    </row>
    <row r="61" spans="1:7" s="18" customFormat="1" x14ac:dyDescent="0.2">
      <c r="A61" s="23" t="s">
        <v>65</v>
      </c>
      <c r="B61" s="24"/>
      <c r="C61" s="24"/>
      <c r="D61" s="24"/>
      <c r="E61" s="24"/>
      <c r="F61" s="24"/>
      <c r="G61" s="24">
        <f t="shared" si="4"/>
        <v>0</v>
      </c>
    </row>
    <row r="62" spans="1:7" s="18" customFormat="1" x14ac:dyDescent="0.2">
      <c r="A62" s="23" t="s">
        <v>66</v>
      </c>
      <c r="B62" s="24"/>
      <c r="C62" s="24"/>
      <c r="D62" s="24"/>
      <c r="E62" s="24"/>
      <c r="F62" s="24"/>
      <c r="G62" s="24">
        <f t="shared" si="4"/>
        <v>0</v>
      </c>
    </row>
    <row r="63" spans="1:7" s="18" customFormat="1" x14ac:dyDescent="0.2">
      <c r="A63" s="23" t="s">
        <v>67</v>
      </c>
      <c r="B63" s="24"/>
      <c r="C63" s="24"/>
      <c r="D63" s="24"/>
      <c r="E63" s="24"/>
      <c r="F63" s="24"/>
      <c r="G63" s="24">
        <f t="shared" si="4"/>
        <v>0</v>
      </c>
    </row>
    <row r="64" spans="1:7" s="18" customFormat="1" x14ac:dyDescent="0.2">
      <c r="A64" s="23" t="s">
        <v>68</v>
      </c>
      <c r="B64" s="24"/>
      <c r="C64" s="24"/>
      <c r="D64" s="24"/>
      <c r="E64" s="24"/>
      <c r="F64" s="24"/>
      <c r="G64" s="24">
        <f t="shared" si="4"/>
        <v>0</v>
      </c>
    </row>
    <row r="65" spans="1:7" s="18" customFormat="1" x14ac:dyDescent="0.2">
      <c r="A65" s="23" t="s">
        <v>69</v>
      </c>
      <c r="B65" s="24"/>
      <c r="C65" s="24"/>
      <c r="D65" s="24"/>
      <c r="E65" s="24"/>
      <c r="F65" s="24"/>
      <c r="G65" s="24">
        <f t="shared" si="4"/>
        <v>0</v>
      </c>
    </row>
    <row r="66" spans="1:7" s="18" customFormat="1" x14ac:dyDescent="0.2">
      <c r="A66" s="21" t="s">
        <v>70</v>
      </c>
      <c r="B66" s="22">
        <f>SUM(B67:B69)</f>
        <v>0</v>
      </c>
      <c r="C66" s="22">
        <f t="shared" ref="C66:F66" si="11">SUM(C67:C69)</f>
        <v>0</v>
      </c>
      <c r="D66" s="22">
        <f t="shared" si="11"/>
        <v>0</v>
      </c>
      <c r="E66" s="22">
        <f t="shared" si="11"/>
        <v>0</v>
      </c>
      <c r="F66" s="22">
        <f t="shared" si="11"/>
        <v>0</v>
      </c>
      <c r="G66" s="22">
        <f t="shared" si="4"/>
        <v>0</v>
      </c>
    </row>
    <row r="67" spans="1:7" s="18" customFormat="1" x14ac:dyDescent="0.2">
      <c r="A67" s="23">
        <v>8</v>
      </c>
      <c r="B67" s="24"/>
      <c r="C67" s="24"/>
      <c r="D67" s="24"/>
      <c r="E67" s="24"/>
      <c r="F67" s="24"/>
      <c r="G67" s="24">
        <f t="shared" si="4"/>
        <v>0</v>
      </c>
    </row>
    <row r="68" spans="1:7" s="18" customFormat="1" x14ac:dyDescent="0.2">
      <c r="A68" s="23" t="s">
        <v>72</v>
      </c>
      <c r="B68" s="24"/>
      <c r="C68" s="24"/>
      <c r="D68" s="24"/>
      <c r="E68" s="24"/>
      <c r="F68" s="24"/>
      <c r="G68" s="24">
        <f t="shared" si="4"/>
        <v>0</v>
      </c>
    </row>
    <row r="69" spans="1:7" s="18" customFormat="1" x14ac:dyDescent="0.2">
      <c r="A69" s="23" t="s">
        <v>73</v>
      </c>
      <c r="B69" s="24"/>
      <c r="C69" s="24"/>
      <c r="D69" s="24"/>
      <c r="E69" s="24"/>
      <c r="F69" s="24"/>
      <c r="G69" s="24">
        <f t="shared" si="4"/>
        <v>0</v>
      </c>
    </row>
    <row r="70" spans="1:7" s="18" customFormat="1" x14ac:dyDescent="0.2">
      <c r="A70" s="21" t="s">
        <v>74</v>
      </c>
      <c r="B70" s="22">
        <f>SUM(B71:B77)</f>
        <v>0</v>
      </c>
      <c r="C70" s="22">
        <f t="shared" ref="C70:F70" si="12">SUM(C71:C77)</f>
        <v>0</v>
      </c>
      <c r="D70" s="22">
        <f t="shared" si="12"/>
        <v>0</v>
      </c>
      <c r="E70" s="22">
        <f t="shared" si="12"/>
        <v>0</v>
      </c>
      <c r="F70" s="22">
        <f t="shared" si="12"/>
        <v>0</v>
      </c>
      <c r="G70" s="22">
        <f t="shared" si="4"/>
        <v>0</v>
      </c>
    </row>
    <row r="71" spans="1:7" s="18" customFormat="1" x14ac:dyDescent="0.2">
      <c r="A71" s="23" t="s">
        <v>75</v>
      </c>
      <c r="B71" s="24"/>
      <c r="C71" s="24"/>
      <c r="D71" s="24"/>
      <c r="E71" s="24"/>
      <c r="F71" s="24"/>
      <c r="G71" s="24">
        <f t="shared" si="4"/>
        <v>0</v>
      </c>
    </row>
    <row r="72" spans="1:7" s="18" customFormat="1" x14ac:dyDescent="0.2">
      <c r="A72" s="23" t="s">
        <v>76</v>
      </c>
      <c r="B72" s="24"/>
      <c r="C72" s="24"/>
      <c r="D72" s="24"/>
      <c r="E72" s="24"/>
      <c r="F72" s="24"/>
      <c r="G72" s="24">
        <f t="shared" si="4"/>
        <v>0</v>
      </c>
    </row>
    <row r="73" spans="1:7" s="18" customFormat="1" x14ac:dyDescent="0.2">
      <c r="A73" s="23" t="s">
        <v>77</v>
      </c>
      <c r="B73" s="24"/>
      <c r="C73" s="24"/>
      <c r="D73" s="24"/>
      <c r="E73" s="24"/>
      <c r="F73" s="24"/>
      <c r="G73" s="24">
        <f t="shared" si="4"/>
        <v>0</v>
      </c>
    </row>
    <row r="74" spans="1:7" s="18" customFormat="1" x14ac:dyDescent="0.2">
      <c r="A74" s="23" t="s">
        <v>78</v>
      </c>
      <c r="B74" s="24"/>
      <c r="C74" s="24"/>
      <c r="D74" s="24"/>
      <c r="E74" s="24"/>
      <c r="F74" s="24"/>
      <c r="G74" s="24">
        <f t="shared" si="4"/>
        <v>0</v>
      </c>
    </row>
    <row r="75" spans="1:7" s="18" customFormat="1" x14ac:dyDescent="0.2">
      <c r="A75" s="23" t="s">
        <v>79</v>
      </c>
      <c r="B75" s="24"/>
      <c r="C75" s="24"/>
      <c r="D75" s="24"/>
      <c r="E75" s="24"/>
      <c r="F75" s="24"/>
      <c r="G75" s="24">
        <f t="shared" si="4"/>
        <v>0</v>
      </c>
    </row>
    <row r="76" spans="1:7" s="18" customFormat="1" x14ac:dyDescent="0.2">
      <c r="A76" s="23" t="s">
        <v>80</v>
      </c>
      <c r="B76" s="24"/>
      <c r="C76" s="24"/>
      <c r="D76" s="24"/>
      <c r="E76" s="24"/>
      <c r="F76" s="24"/>
      <c r="G76" s="24">
        <f t="shared" si="4"/>
        <v>0</v>
      </c>
    </row>
    <row r="77" spans="1:7" s="18" customFormat="1" x14ac:dyDescent="0.2">
      <c r="A77" s="23" t="s">
        <v>81</v>
      </c>
      <c r="B77" s="24"/>
      <c r="C77" s="24"/>
      <c r="D77" s="24"/>
      <c r="E77" s="24"/>
      <c r="F77" s="24"/>
      <c r="G77" s="24">
        <f t="shared" si="4"/>
        <v>0</v>
      </c>
    </row>
    <row r="78" spans="1:7" s="18" customFormat="1" ht="5.0999999999999996" customHeight="1" x14ac:dyDescent="0.2">
      <c r="A78" s="27"/>
      <c r="B78" s="22"/>
      <c r="C78" s="22"/>
      <c r="D78" s="22"/>
      <c r="E78" s="22"/>
      <c r="F78" s="22"/>
      <c r="G78" s="22"/>
    </row>
    <row r="79" spans="1:7" s="18" customFormat="1" x14ac:dyDescent="0.2">
      <c r="A79" s="27" t="s">
        <v>82</v>
      </c>
      <c r="B79" s="22">
        <f>B80+B88+B98+B108+B118+B128+B132+B141+B145</f>
        <v>211022074.70999998</v>
      </c>
      <c r="C79" s="22">
        <f t="shared" ref="C79:G79" si="13">C80+C88+C98+C108+C118+C128+C132+C141+C145</f>
        <v>67315604.140000001</v>
      </c>
      <c r="D79" s="22">
        <f t="shared" si="13"/>
        <v>278337678.85000002</v>
      </c>
      <c r="E79" s="22">
        <f t="shared" si="13"/>
        <v>181555665.72</v>
      </c>
      <c r="F79" s="22">
        <f t="shared" si="13"/>
        <v>169055573.24000004</v>
      </c>
      <c r="G79" s="22">
        <f t="shared" si="13"/>
        <v>96782013.130000025</v>
      </c>
    </row>
    <row r="80" spans="1:7" s="18" customFormat="1" x14ac:dyDescent="0.2">
      <c r="A80" s="21" t="s">
        <v>9</v>
      </c>
      <c r="B80" s="22">
        <f>SUM(B81:B87)</f>
        <v>45723434.400000006</v>
      </c>
      <c r="C80" s="22">
        <f t="shared" ref="C80:G80" si="14">SUM(C81:C87)</f>
        <v>2222009.0299999998</v>
      </c>
      <c r="D80" s="22">
        <f t="shared" si="14"/>
        <v>47945443.430000007</v>
      </c>
      <c r="E80" s="22">
        <f t="shared" si="14"/>
        <v>43621153.099999994</v>
      </c>
      <c r="F80" s="22">
        <f t="shared" si="14"/>
        <v>43231190.349999994</v>
      </c>
      <c r="G80" s="22">
        <f t="shared" si="14"/>
        <v>4324290.3300000159</v>
      </c>
    </row>
    <row r="81" spans="1:7" s="18" customFormat="1" x14ac:dyDescent="0.2">
      <c r="A81" s="23" t="s">
        <v>10</v>
      </c>
      <c r="B81" s="28">
        <v>29669058.400000006</v>
      </c>
      <c r="C81" s="29">
        <v>0</v>
      </c>
      <c r="D81" s="30">
        <v>29669058.400000006</v>
      </c>
      <c r="E81" s="29">
        <v>27184999.379999988</v>
      </c>
      <c r="F81" s="29">
        <v>27184999.379999988</v>
      </c>
      <c r="G81" s="24">
        <f t="shared" ref="G81:G144" si="15">D81-E81</f>
        <v>2484059.0200000182</v>
      </c>
    </row>
    <row r="82" spans="1:7" s="18" customFormat="1" x14ac:dyDescent="0.2">
      <c r="A82" s="23" t="s">
        <v>11</v>
      </c>
      <c r="B82" s="28">
        <v>0</v>
      </c>
      <c r="C82" s="29">
        <f>2101129.03-189120</f>
        <v>1912009.0299999998</v>
      </c>
      <c r="D82" s="31">
        <f>2101129.03-189120</f>
        <v>1912009.0299999998</v>
      </c>
      <c r="E82" s="29">
        <f>1831270-164900</f>
        <v>1666370</v>
      </c>
      <c r="F82" s="29">
        <f>1831270-164900</f>
        <v>1666370</v>
      </c>
      <c r="G82" s="24">
        <f t="shared" si="15"/>
        <v>245639.0299999998</v>
      </c>
    </row>
    <row r="83" spans="1:7" s="18" customFormat="1" x14ac:dyDescent="0.2">
      <c r="A83" s="23" t="s">
        <v>12</v>
      </c>
      <c r="B83" s="28">
        <v>5390904</v>
      </c>
      <c r="C83" s="29">
        <v>0</v>
      </c>
      <c r="D83" s="30">
        <v>5390904.0000000019</v>
      </c>
      <c r="E83" s="29">
        <v>4729537.7400000039</v>
      </c>
      <c r="F83" s="29">
        <v>4723182.3000000026</v>
      </c>
      <c r="G83" s="24">
        <f t="shared" si="15"/>
        <v>661366.25999999791</v>
      </c>
    </row>
    <row r="84" spans="1:7" s="18" customFormat="1" x14ac:dyDescent="0.2">
      <c r="A84" s="23" t="s">
        <v>13</v>
      </c>
      <c r="B84" s="28">
        <v>4055999.9999999991</v>
      </c>
      <c r="C84" s="29">
        <v>0</v>
      </c>
      <c r="D84" s="30">
        <v>4055999.9999999991</v>
      </c>
      <c r="E84" s="29">
        <v>3652066.27</v>
      </c>
      <c r="F84" s="29">
        <v>3268458.96</v>
      </c>
      <c r="G84" s="24">
        <f t="shared" si="15"/>
        <v>403933.72999999905</v>
      </c>
    </row>
    <row r="85" spans="1:7" s="18" customFormat="1" x14ac:dyDescent="0.2">
      <c r="A85" s="23" t="s">
        <v>14</v>
      </c>
      <c r="B85" s="28">
        <v>6564960</v>
      </c>
      <c r="C85" s="29">
        <v>310000</v>
      </c>
      <c r="D85" s="30">
        <v>6874960</v>
      </c>
      <c r="E85" s="29">
        <v>6346934.9100000001</v>
      </c>
      <c r="F85" s="29">
        <v>6346934.9100000001</v>
      </c>
      <c r="G85" s="24">
        <f t="shared" si="15"/>
        <v>528025.08999999985</v>
      </c>
    </row>
    <row r="86" spans="1:7" s="18" customFormat="1" x14ac:dyDescent="0.2">
      <c r="A86" s="23" t="s">
        <v>15</v>
      </c>
      <c r="B86" s="28">
        <v>0</v>
      </c>
      <c r="C86" s="29">
        <v>0</v>
      </c>
      <c r="D86" s="30">
        <v>0</v>
      </c>
      <c r="E86" s="29">
        <v>0</v>
      </c>
      <c r="F86" s="29">
        <v>0</v>
      </c>
      <c r="G86" s="24">
        <f t="shared" si="15"/>
        <v>0</v>
      </c>
    </row>
    <row r="87" spans="1:7" s="18" customFormat="1" x14ac:dyDescent="0.2">
      <c r="A87" s="23" t="s">
        <v>16</v>
      </c>
      <c r="B87" s="18">
        <v>42512</v>
      </c>
      <c r="C87" s="32">
        <v>0</v>
      </c>
      <c r="D87" s="33">
        <v>42512</v>
      </c>
      <c r="E87" s="32">
        <v>41244.799999998882</v>
      </c>
      <c r="F87" s="32">
        <v>41244.799999998882</v>
      </c>
      <c r="G87" s="24">
        <f t="shared" si="15"/>
        <v>1267.2000000011176</v>
      </c>
    </row>
    <row r="88" spans="1:7" s="18" customFormat="1" x14ac:dyDescent="0.2">
      <c r="A88" s="21" t="s">
        <v>17</v>
      </c>
      <c r="B88" s="22">
        <f>SUM(B89:B97)</f>
        <v>11818901.35</v>
      </c>
      <c r="C88" s="22">
        <f t="shared" ref="C88:F88" si="16">SUM(C89:C97)</f>
        <v>6010497.7199999997</v>
      </c>
      <c r="D88" s="22">
        <f t="shared" si="16"/>
        <v>17829399.07</v>
      </c>
      <c r="E88" s="22">
        <f t="shared" si="16"/>
        <v>16929043.609999999</v>
      </c>
      <c r="F88" s="22">
        <f t="shared" si="16"/>
        <v>16484195.070000002</v>
      </c>
      <c r="G88" s="22">
        <f t="shared" si="15"/>
        <v>900355.46000000089</v>
      </c>
    </row>
    <row r="89" spans="1:7" s="18" customFormat="1" x14ac:dyDescent="0.2">
      <c r="A89" s="23" t="s">
        <v>18</v>
      </c>
      <c r="B89" s="24">
        <v>30800</v>
      </c>
      <c r="C89" s="24">
        <v>438845.10000000015</v>
      </c>
      <c r="D89" s="24">
        <v>469645.09999999963</v>
      </c>
      <c r="E89" s="24">
        <v>464474.06000000006</v>
      </c>
      <c r="F89" s="24">
        <v>373379.26000000024</v>
      </c>
      <c r="G89" s="24">
        <f t="shared" si="15"/>
        <v>5171.0399999995716</v>
      </c>
    </row>
    <row r="90" spans="1:7" s="18" customFormat="1" x14ac:dyDescent="0.2">
      <c r="A90" s="23" t="s">
        <v>19</v>
      </c>
      <c r="B90" s="24">
        <v>24000</v>
      </c>
      <c r="C90" s="24">
        <v>-22631.999999999942</v>
      </c>
      <c r="D90" s="24">
        <v>1368</v>
      </c>
      <c r="E90" s="24">
        <v>899.54999999998836</v>
      </c>
      <c r="F90" s="24">
        <v>899.54999999993015</v>
      </c>
      <c r="G90" s="24">
        <f t="shared" si="15"/>
        <v>468.45000000001164</v>
      </c>
    </row>
    <row r="91" spans="1:7" s="18" customFormat="1" x14ac:dyDescent="0.2">
      <c r="A91" s="23" t="s">
        <v>20</v>
      </c>
      <c r="B91" s="24">
        <v>0</v>
      </c>
      <c r="C91" s="24">
        <v>0</v>
      </c>
      <c r="D91" s="24">
        <v>0</v>
      </c>
      <c r="E91" s="24">
        <v>0</v>
      </c>
      <c r="F91" s="24">
        <v>0</v>
      </c>
      <c r="G91" s="24">
        <f t="shared" si="15"/>
        <v>0</v>
      </c>
    </row>
    <row r="92" spans="1:7" s="18" customFormat="1" x14ac:dyDescent="0.2">
      <c r="A92" s="23" t="s">
        <v>21</v>
      </c>
      <c r="B92" s="24">
        <v>2146835</v>
      </c>
      <c r="C92" s="24">
        <f>1987775.79-212630</f>
        <v>1775145.79</v>
      </c>
      <c r="D92" s="24">
        <f>4134610.79-212630</f>
        <v>3921980.79</v>
      </c>
      <c r="E92" s="24">
        <f>3512480.07-91980.63</f>
        <v>3420499.44</v>
      </c>
      <c r="F92" s="24">
        <f>3501853.02-91980.63</f>
        <v>3409872.39</v>
      </c>
      <c r="G92" s="24">
        <f t="shared" si="15"/>
        <v>501481.35000000009</v>
      </c>
    </row>
    <row r="93" spans="1:7" s="18" customFormat="1" x14ac:dyDescent="0.2">
      <c r="A93" s="23" t="s">
        <v>22</v>
      </c>
      <c r="B93" s="24">
        <v>83000</v>
      </c>
      <c r="C93" s="24">
        <f>161300.89-90049.7</f>
        <v>71251.190000000017</v>
      </c>
      <c r="D93" s="24">
        <f>244300.89-90049.7</f>
        <v>154251.19</v>
      </c>
      <c r="E93" s="24">
        <v>94252.569999999949</v>
      </c>
      <c r="F93" s="24">
        <v>94252.569999999949</v>
      </c>
      <c r="G93" s="24">
        <f t="shared" si="15"/>
        <v>59998.620000000054</v>
      </c>
    </row>
    <row r="94" spans="1:7" s="18" customFormat="1" x14ac:dyDescent="0.2">
      <c r="A94" s="23" t="s">
        <v>23</v>
      </c>
      <c r="B94" s="24">
        <v>7689266.3499999996</v>
      </c>
      <c r="C94" s="24">
        <v>-63308.429999999993</v>
      </c>
      <c r="D94" s="24">
        <v>7625957.9199999999</v>
      </c>
      <c r="E94" s="24">
        <v>7616372.6100000003</v>
      </c>
      <c r="F94" s="24">
        <v>7602071.5200000014</v>
      </c>
      <c r="G94" s="24">
        <f t="shared" si="15"/>
        <v>9585.3099999995902</v>
      </c>
    </row>
    <row r="95" spans="1:7" s="18" customFormat="1" x14ac:dyDescent="0.2">
      <c r="A95" s="23" t="s">
        <v>24</v>
      </c>
      <c r="B95" s="24">
        <v>25000</v>
      </c>
      <c r="C95" s="24">
        <f>2464377.1-1000</f>
        <v>2463377.1</v>
      </c>
      <c r="D95" s="24">
        <f>2489377.1-1000</f>
        <v>2488377.1</v>
      </c>
      <c r="E95" s="24">
        <v>2252392.64</v>
      </c>
      <c r="F95" s="24">
        <v>2157435.04</v>
      </c>
      <c r="G95" s="24">
        <f t="shared" si="15"/>
        <v>235984.45999999996</v>
      </c>
    </row>
    <row r="96" spans="1:7" s="18" customFormat="1" x14ac:dyDescent="0.2">
      <c r="A96" s="23" t="s">
        <v>25</v>
      </c>
      <c r="B96" s="24">
        <v>10000</v>
      </c>
      <c r="C96" s="24">
        <v>532040</v>
      </c>
      <c r="D96" s="24">
        <v>542040</v>
      </c>
      <c r="E96" s="24">
        <v>488266.67</v>
      </c>
      <c r="F96" s="24">
        <v>441054.67</v>
      </c>
      <c r="G96" s="24">
        <f t="shared" si="15"/>
        <v>53773.330000000016</v>
      </c>
    </row>
    <row r="97" spans="1:7" s="18" customFormat="1" x14ac:dyDescent="0.2">
      <c r="A97" s="23" t="s">
        <v>26</v>
      </c>
      <c r="B97" s="24">
        <v>1810000.0000000002</v>
      </c>
      <c r="C97" s="24">
        <f>816778.97-1000</f>
        <v>815778.97</v>
      </c>
      <c r="D97" s="24">
        <f>2626778.97-1000</f>
        <v>2625778.9700000002</v>
      </c>
      <c r="E97" s="24">
        <v>2591886.0699999998</v>
      </c>
      <c r="F97" s="24">
        <v>2405230.0699999998</v>
      </c>
      <c r="G97" s="24">
        <f t="shared" si="15"/>
        <v>33892.900000000373</v>
      </c>
    </row>
    <row r="98" spans="1:7" s="18" customFormat="1" x14ac:dyDescent="0.2">
      <c r="A98" s="21" t="s">
        <v>27</v>
      </c>
      <c r="B98" s="22">
        <f>SUM(B99:B107)</f>
        <v>17619882.719999999</v>
      </c>
      <c r="C98" s="22">
        <f t="shared" ref="C98:F98" si="17">SUM(C99:C107)</f>
        <v>5077004.0599999987</v>
      </c>
      <c r="D98" s="22">
        <f t="shared" si="17"/>
        <v>22696886.780000001</v>
      </c>
      <c r="E98" s="22">
        <f t="shared" si="17"/>
        <v>21005119.530000001</v>
      </c>
      <c r="F98" s="22">
        <f t="shared" si="17"/>
        <v>19829278.929999996</v>
      </c>
      <c r="G98" s="22">
        <f t="shared" si="15"/>
        <v>1691767.25</v>
      </c>
    </row>
    <row r="99" spans="1:7" s="18" customFormat="1" x14ac:dyDescent="0.2">
      <c r="A99" s="23" t="s">
        <v>28</v>
      </c>
      <c r="B99" s="24">
        <v>0</v>
      </c>
      <c r="C99" s="24">
        <v>916899.99999999814</v>
      </c>
      <c r="D99" s="24">
        <v>916900</v>
      </c>
      <c r="E99" s="24">
        <v>714590.19999999925</v>
      </c>
      <c r="F99" s="24">
        <v>500</v>
      </c>
      <c r="G99" s="24">
        <f t="shared" si="15"/>
        <v>202309.80000000075</v>
      </c>
    </row>
    <row r="100" spans="1:7" s="18" customFormat="1" x14ac:dyDescent="0.2">
      <c r="A100" s="23" t="s">
        <v>29</v>
      </c>
      <c r="B100" s="24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f t="shared" si="15"/>
        <v>0</v>
      </c>
    </row>
    <row r="101" spans="1:7" s="18" customFormat="1" x14ac:dyDescent="0.2">
      <c r="A101" s="23" t="s">
        <v>30</v>
      </c>
      <c r="B101" s="24">
        <v>0</v>
      </c>
      <c r="C101" s="24">
        <v>4145783.85</v>
      </c>
      <c r="D101" s="24">
        <v>4145783.8499999992</v>
      </c>
      <c r="E101" s="24">
        <v>3796308.2499999991</v>
      </c>
      <c r="F101" s="24">
        <v>3531165.8499999987</v>
      </c>
      <c r="G101" s="24">
        <f t="shared" si="15"/>
        <v>349475.60000000009</v>
      </c>
    </row>
    <row r="102" spans="1:7" s="18" customFormat="1" x14ac:dyDescent="0.2">
      <c r="A102" s="23" t="s">
        <v>31</v>
      </c>
      <c r="B102" s="24">
        <f>864733.24-30000</f>
        <v>834733.24</v>
      </c>
      <c r="C102" s="24">
        <f>-511669.47-30000</f>
        <v>-541669.47</v>
      </c>
      <c r="D102" s="24">
        <f>353063.77-60000</f>
        <v>293063.77</v>
      </c>
      <c r="E102" s="24">
        <f>91693.18-27407.54</f>
        <v>64285.639999999992</v>
      </c>
      <c r="F102" s="24">
        <f>91693.18-27407.54</f>
        <v>64285.639999999992</v>
      </c>
      <c r="G102" s="24">
        <f t="shared" si="15"/>
        <v>228778.13000000003</v>
      </c>
    </row>
    <row r="103" spans="1:7" s="18" customFormat="1" x14ac:dyDescent="0.2">
      <c r="A103" s="23" t="s">
        <v>32</v>
      </c>
      <c r="B103" s="24">
        <v>1069000</v>
      </c>
      <c r="C103" s="24">
        <v>-19999.999999999971</v>
      </c>
      <c r="D103" s="24">
        <v>1049000</v>
      </c>
      <c r="E103" s="24">
        <v>956528.6100000001</v>
      </c>
      <c r="F103" s="24">
        <v>892728.6100000001</v>
      </c>
      <c r="G103" s="24">
        <f t="shared" si="15"/>
        <v>92471.389999999898</v>
      </c>
    </row>
    <row r="104" spans="1:7" s="18" customFormat="1" x14ac:dyDescent="0.2">
      <c r="A104" s="23" t="s">
        <v>33</v>
      </c>
      <c r="B104" s="24">
        <v>0</v>
      </c>
      <c r="C104" s="24">
        <v>0</v>
      </c>
      <c r="D104" s="24">
        <v>0</v>
      </c>
      <c r="E104" s="24">
        <v>0</v>
      </c>
      <c r="F104" s="24">
        <v>0</v>
      </c>
      <c r="G104" s="24">
        <f t="shared" si="15"/>
        <v>0</v>
      </c>
    </row>
    <row r="105" spans="1:7" s="18" customFormat="1" x14ac:dyDescent="0.2">
      <c r="A105" s="23" t="s">
        <v>34</v>
      </c>
      <c r="B105" s="24">
        <v>50000.000000000029</v>
      </c>
      <c r="C105" s="24">
        <v>-10000</v>
      </c>
      <c r="D105" s="24">
        <v>40000</v>
      </c>
      <c r="E105" s="24">
        <v>17697</v>
      </c>
      <c r="F105" s="24">
        <v>17697</v>
      </c>
      <c r="G105" s="24">
        <f t="shared" si="15"/>
        <v>22303</v>
      </c>
    </row>
    <row r="106" spans="1:7" s="18" customFormat="1" x14ac:dyDescent="0.2">
      <c r="A106" s="23" t="s">
        <v>35</v>
      </c>
      <c r="B106" s="24">
        <v>0</v>
      </c>
      <c r="C106" s="24">
        <v>11403</v>
      </c>
      <c r="D106" s="24">
        <v>11403</v>
      </c>
      <c r="E106" s="24">
        <v>11403</v>
      </c>
      <c r="F106" s="24">
        <v>11403</v>
      </c>
      <c r="G106" s="24">
        <f t="shared" si="15"/>
        <v>0</v>
      </c>
    </row>
    <row r="107" spans="1:7" s="18" customFormat="1" x14ac:dyDescent="0.2">
      <c r="A107" s="23" t="s">
        <v>36</v>
      </c>
      <c r="B107" s="24">
        <v>15666149.48</v>
      </c>
      <c r="C107" s="24">
        <v>574586.68000000063</v>
      </c>
      <c r="D107" s="24">
        <v>16240736.160000002</v>
      </c>
      <c r="E107" s="24">
        <v>15444306.830000002</v>
      </c>
      <c r="F107" s="24">
        <v>15311498.829999998</v>
      </c>
      <c r="G107" s="24">
        <f t="shared" si="15"/>
        <v>796429.33000000007</v>
      </c>
    </row>
    <row r="108" spans="1:7" s="18" customFormat="1" x14ac:dyDescent="0.2">
      <c r="A108" s="21" t="s">
        <v>37</v>
      </c>
      <c r="B108" s="22">
        <f>SUM(B109:B117)</f>
        <v>10000</v>
      </c>
      <c r="C108" s="22">
        <f t="shared" ref="C108:F108" si="18">SUM(C109:C117)</f>
        <v>683031.89999999991</v>
      </c>
      <c r="D108" s="22">
        <f t="shared" si="18"/>
        <v>693031.90000000189</v>
      </c>
      <c r="E108" s="22">
        <f t="shared" si="18"/>
        <v>7031.9000000000005</v>
      </c>
      <c r="F108" s="22">
        <f t="shared" si="18"/>
        <v>7031.9000000000005</v>
      </c>
      <c r="G108" s="22">
        <f t="shared" si="15"/>
        <v>686000.00000000186</v>
      </c>
    </row>
    <row r="109" spans="1:7" s="18" customFormat="1" x14ac:dyDescent="0.2">
      <c r="A109" s="23" t="s">
        <v>38</v>
      </c>
      <c r="B109" s="24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f t="shared" si="15"/>
        <v>0</v>
      </c>
    </row>
    <row r="110" spans="1:7" s="18" customFormat="1" x14ac:dyDescent="0.2">
      <c r="A110" s="23" t="s">
        <v>39</v>
      </c>
      <c r="B110" s="24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f t="shared" si="15"/>
        <v>0</v>
      </c>
    </row>
    <row r="111" spans="1:7" s="18" customFormat="1" x14ac:dyDescent="0.2">
      <c r="A111" s="23" t="s">
        <v>40</v>
      </c>
      <c r="B111" s="24">
        <v>0</v>
      </c>
      <c r="C111" s="24">
        <v>507031.9</v>
      </c>
      <c r="D111" s="24">
        <v>507031.9</v>
      </c>
      <c r="E111" s="24">
        <f>10518.2-3486.3</f>
        <v>7031.9000000000005</v>
      </c>
      <c r="F111" s="24">
        <f>10518.2-3486.3</f>
        <v>7031.9000000000005</v>
      </c>
      <c r="G111" s="24">
        <f t="shared" si="15"/>
        <v>500000</v>
      </c>
    </row>
    <row r="112" spans="1:7" s="18" customFormat="1" x14ac:dyDescent="0.2">
      <c r="A112" s="23" t="s">
        <v>41</v>
      </c>
      <c r="B112" s="24">
        <v>10000</v>
      </c>
      <c r="C112" s="24">
        <v>175999.99999999994</v>
      </c>
      <c r="D112" s="24">
        <v>186000.00000000186</v>
      </c>
      <c r="E112" s="24">
        <v>0</v>
      </c>
      <c r="F112" s="24">
        <v>0</v>
      </c>
      <c r="G112" s="24">
        <f t="shared" si="15"/>
        <v>186000.00000000186</v>
      </c>
    </row>
    <row r="113" spans="1:7" s="18" customFormat="1" x14ac:dyDescent="0.2">
      <c r="A113" s="23" t="s">
        <v>42</v>
      </c>
      <c r="B113" s="24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f t="shared" si="15"/>
        <v>0</v>
      </c>
    </row>
    <row r="114" spans="1:7" s="18" customFormat="1" x14ac:dyDescent="0.2">
      <c r="A114" s="23" t="s">
        <v>43</v>
      </c>
      <c r="B114" s="24">
        <v>0</v>
      </c>
      <c r="C114" s="24">
        <v>0</v>
      </c>
      <c r="D114" s="24">
        <v>0</v>
      </c>
      <c r="E114" s="24">
        <v>0</v>
      </c>
      <c r="F114" s="24">
        <v>0</v>
      </c>
      <c r="G114" s="24">
        <f t="shared" si="15"/>
        <v>0</v>
      </c>
    </row>
    <row r="115" spans="1:7" s="18" customFormat="1" x14ac:dyDescent="0.2">
      <c r="A115" s="23" t="s">
        <v>44</v>
      </c>
      <c r="B115" s="24">
        <v>0</v>
      </c>
      <c r="C115" s="24">
        <v>0</v>
      </c>
      <c r="D115" s="24">
        <v>0</v>
      </c>
      <c r="E115" s="24">
        <v>0</v>
      </c>
      <c r="F115" s="24">
        <v>0</v>
      </c>
      <c r="G115" s="24">
        <f t="shared" si="15"/>
        <v>0</v>
      </c>
    </row>
    <row r="116" spans="1:7" s="18" customFormat="1" x14ac:dyDescent="0.2">
      <c r="A116" s="23" t="s">
        <v>45</v>
      </c>
      <c r="B116" s="24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f t="shared" si="15"/>
        <v>0</v>
      </c>
    </row>
    <row r="117" spans="1:7" s="18" customFormat="1" x14ac:dyDescent="0.2">
      <c r="A117" s="23" t="s">
        <v>46</v>
      </c>
      <c r="B117" s="24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f t="shared" si="15"/>
        <v>0</v>
      </c>
    </row>
    <row r="118" spans="1:7" s="18" customFormat="1" x14ac:dyDescent="0.2">
      <c r="A118" s="21" t="s">
        <v>47</v>
      </c>
      <c r="B118" s="22">
        <f>SUM(B119:B127)</f>
        <v>38398.849999999977</v>
      </c>
      <c r="C118" s="22">
        <f t="shared" ref="C118:F118" si="19">SUM(C119:C127)</f>
        <v>3327227.15</v>
      </c>
      <c r="D118" s="22">
        <f t="shared" si="19"/>
        <v>3365626</v>
      </c>
      <c r="E118" s="22">
        <f t="shared" si="19"/>
        <v>2549005.4500000002</v>
      </c>
      <c r="F118" s="22">
        <f t="shared" si="19"/>
        <v>2549005.4500000002</v>
      </c>
      <c r="G118" s="22">
        <f t="shared" si="15"/>
        <v>816620.54999999981</v>
      </c>
    </row>
    <row r="119" spans="1:7" s="18" customFormat="1" x14ac:dyDescent="0.2">
      <c r="A119" s="23" t="s">
        <v>48</v>
      </c>
      <c r="B119" s="24">
        <v>38398.849999999977</v>
      </c>
      <c r="C119" s="24">
        <v>607102.05000000005</v>
      </c>
      <c r="D119" s="24">
        <v>645500.9</v>
      </c>
      <c r="E119" s="24">
        <v>46424.130000000005</v>
      </c>
      <c r="F119" s="24">
        <v>46424.130000000005</v>
      </c>
      <c r="G119" s="24">
        <f t="shared" si="15"/>
        <v>599076.77</v>
      </c>
    </row>
    <row r="120" spans="1:7" s="18" customFormat="1" x14ac:dyDescent="0.2">
      <c r="A120" s="23" t="s">
        <v>49</v>
      </c>
      <c r="B120" s="24">
        <v>0</v>
      </c>
      <c r="C120" s="24">
        <v>186299.1</v>
      </c>
      <c r="D120" s="24">
        <v>186299.09999999998</v>
      </c>
      <c r="E120" s="24">
        <v>183862</v>
      </c>
      <c r="F120" s="24">
        <v>183862</v>
      </c>
      <c r="G120" s="24">
        <f t="shared" si="15"/>
        <v>2437.0999999999767</v>
      </c>
    </row>
    <row r="121" spans="1:7" s="18" customFormat="1" x14ac:dyDescent="0.2">
      <c r="A121" s="23" t="s">
        <v>50</v>
      </c>
      <c r="B121" s="24">
        <v>0</v>
      </c>
      <c r="C121" s="24">
        <v>0</v>
      </c>
      <c r="D121" s="24">
        <v>0</v>
      </c>
      <c r="E121" s="24">
        <v>0</v>
      </c>
      <c r="F121" s="24">
        <v>0</v>
      </c>
      <c r="G121" s="24">
        <f t="shared" si="15"/>
        <v>0</v>
      </c>
    </row>
    <row r="122" spans="1:7" s="18" customFormat="1" x14ac:dyDescent="0.2">
      <c r="A122" s="23" t="s">
        <v>51</v>
      </c>
      <c r="B122" s="24">
        <v>0</v>
      </c>
      <c r="C122" s="24">
        <v>2320000</v>
      </c>
      <c r="D122" s="24">
        <v>2320000</v>
      </c>
      <c r="E122" s="24">
        <v>2318719.3200000003</v>
      </c>
      <c r="F122" s="24">
        <v>2318719.3200000003</v>
      </c>
      <c r="G122" s="24">
        <f t="shared" si="15"/>
        <v>1280.679999999702</v>
      </c>
    </row>
    <row r="123" spans="1:7" s="18" customFormat="1" x14ac:dyDescent="0.2">
      <c r="A123" s="23" t="s">
        <v>52</v>
      </c>
      <c r="B123" s="24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f t="shared" si="15"/>
        <v>0</v>
      </c>
    </row>
    <row r="124" spans="1:7" s="18" customFormat="1" x14ac:dyDescent="0.2">
      <c r="A124" s="23" t="s">
        <v>53</v>
      </c>
      <c r="B124" s="24">
        <v>0</v>
      </c>
      <c r="C124" s="24">
        <v>158610</v>
      </c>
      <c r="D124" s="24">
        <v>158610</v>
      </c>
      <c r="E124" s="24">
        <v>0</v>
      </c>
      <c r="F124" s="24">
        <v>0</v>
      </c>
      <c r="G124" s="24">
        <f t="shared" si="15"/>
        <v>158610</v>
      </c>
    </row>
    <row r="125" spans="1:7" s="18" customFormat="1" x14ac:dyDescent="0.2">
      <c r="A125" s="23" t="s">
        <v>54</v>
      </c>
      <c r="B125" s="24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f t="shared" si="15"/>
        <v>0</v>
      </c>
    </row>
    <row r="126" spans="1:7" s="18" customFormat="1" x14ac:dyDescent="0.2">
      <c r="A126" s="23" t="s">
        <v>55</v>
      </c>
      <c r="B126" s="24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f t="shared" si="15"/>
        <v>0</v>
      </c>
    </row>
    <row r="127" spans="1:7" s="18" customFormat="1" x14ac:dyDescent="0.2">
      <c r="A127" s="23" t="s">
        <v>56</v>
      </c>
      <c r="B127" s="24">
        <v>0</v>
      </c>
      <c r="C127" s="24">
        <v>55216</v>
      </c>
      <c r="D127" s="24">
        <v>55216</v>
      </c>
      <c r="E127" s="24">
        <v>0</v>
      </c>
      <c r="F127" s="24">
        <v>0</v>
      </c>
      <c r="G127" s="24">
        <f t="shared" si="15"/>
        <v>55216</v>
      </c>
    </row>
    <row r="128" spans="1:7" s="18" customFormat="1" x14ac:dyDescent="0.2">
      <c r="A128" s="21" t="s">
        <v>57</v>
      </c>
      <c r="B128" s="22">
        <f>SUM(B129:B131)</f>
        <v>134225522.19</v>
      </c>
      <c r="C128" s="22">
        <f t="shared" ref="C128:F128" si="20">SUM(C129:C131)</f>
        <v>49534128.740000002</v>
      </c>
      <c r="D128" s="22">
        <f t="shared" si="20"/>
        <v>183759650.93000001</v>
      </c>
      <c r="E128" s="22">
        <f t="shared" si="20"/>
        <v>95501489.730000004</v>
      </c>
      <c r="F128" s="22">
        <f t="shared" si="20"/>
        <v>85012049.140000015</v>
      </c>
      <c r="G128" s="22">
        <f t="shared" si="15"/>
        <v>88258161.200000003</v>
      </c>
    </row>
    <row r="129" spans="1:7" s="18" customFormat="1" x14ac:dyDescent="0.2">
      <c r="A129" s="23" t="s">
        <v>58</v>
      </c>
      <c r="B129" s="18">
        <f>135373053.13-281265.9-183700.85-682564.19</f>
        <v>134225522.19</v>
      </c>
      <c r="C129" s="24">
        <f>51891174.74-3656831.38-104625+281265.9+183700.85+493799.7</f>
        <v>49088484.810000002</v>
      </c>
      <c r="D129" s="24">
        <f>187264227.87-3656831.38-104625-188764.49</f>
        <v>183314007</v>
      </c>
      <c r="E129" s="24">
        <f>96165839.32-919224.69-187603.6</f>
        <v>95059011.030000001</v>
      </c>
      <c r="F129" s="24">
        <f>85676398.73-919224.69-187603.6</f>
        <v>84569570.440000013</v>
      </c>
      <c r="G129" s="24">
        <f t="shared" si="15"/>
        <v>88254995.969999999</v>
      </c>
    </row>
    <row r="130" spans="1:7" s="18" customFormat="1" x14ac:dyDescent="0.2">
      <c r="A130" s="23" t="s">
        <v>59</v>
      </c>
      <c r="B130" s="18">
        <v>0</v>
      </c>
      <c r="C130" s="24">
        <v>445643.93</v>
      </c>
      <c r="D130" s="24">
        <v>445643.93</v>
      </c>
      <c r="E130" s="24">
        <v>442478.7</v>
      </c>
      <c r="F130" s="24">
        <v>442478.7</v>
      </c>
      <c r="G130" s="24">
        <f t="shared" si="15"/>
        <v>3165.2299999999814</v>
      </c>
    </row>
    <row r="131" spans="1:7" s="18" customFormat="1" x14ac:dyDescent="0.2">
      <c r="A131" s="23" t="s">
        <v>60</v>
      </c>
      <c r="B131" s="18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f t="shared" si="15"/>
        <v>0</v>
      </c>
    </row>
    <row r="132" spans="1:7" s="18" customFormat="1" x14ac:dyDescent="0.2">
      <c r="A132" s="21" t="s">
        <v>61</v>
      </c>
      <c r="B132" s="22">
        <f>SUM(B133:B140)</f>
        <v>0</v>
      </c>
      <c r="C132" s="22">
        <f t="shared" ref="C132:F132" si="21">SUM(C133:C140)</f>
        <v>0</v>
      </c>
      <c r="D132" s="22">
        <f t="shared" si="21"/>
        <v>0</v>
      </c>
      <c r="E132" s="22">
        <f t="shared" si="21"/>
        <v>0</v>
      </c>
      <c r="F132" s="22">
        <f t="shared" si="21"/>
        <v>0</v>
      </c>
      <c r="G132" s="22">
        <f t="shared" si="15"/>
        <v>0</v>
      </c>
    </row>
    <row r="133" spans="1:7" s="18" customFormat="1" x14ac:dyDescent="0.2">
      <c r="A133" s="23" t="s">
        <v>62</v>
      </c>
      <c r="B133" s="24"/>
      <c r="C133" s="24"/>
      <c r="D133" s="24"/>
      <c r="E133" s="24"/>
      <c r="F133" s="24"/>
      <c r="G133" s="24">
        <f t="shared" si="15"/>
        <v>0</v>
      </c>
    </row>
    <row r="134" spans="1:7" s="18" customFormat="1" x14ac:dyDescent="0.2">
      <c r="A134" s="23" t="s">
        <v>63</v>
      </c>
      <c r="B134" s="24"/>
      <c r="C134" s="24"/>
      <c r="D134" s="24"/>
      <c r="E134" s="24"/>
      <c r="F134" s="24"/>
      <c r="G134" s="24">
        <f t="shared" si="15"/>
        <v>0</v>
      </c>
    </row>
    <row r="135" spans="1:7" s="18" customFormat="1" x14ac:dyDescent="0.2">
      <c r="A135" s="23" t="s">
        <v>64</v>
      </c>
      <c r="B135" s="24"/>
      <c r="C135" s="24"/>
      <c r="D135" s="24"/>
      <c r="E135" s="24"/>
      <c r="F135" s="24"/>
      <c r="G135" s="24">
        <f t="shared" si="15"/>
        <v>0</v>
      </c>
    </row>
    <row r="136" spans="1:7" s="18" customFormat="1" x14ac:dyDescent="0.2">
      <c r="A136" s="23" t="s">
        <v>65</v>
      </c>
      <c r="B136" s="24"/>
      <c r="C136" s="24"/>
      <c r="D136" s="24"/>
      <c r="E136" s="24"/>
      <c r="F136" s="24"/>
      <c r="G136" s="24">
        <f t="shared" si="15"/>
        <v>0</v>
      </c>
    </row>
    <row r="137" spans="1:7" s="18" customFormat="1" x14ac:dyDescent="0.2">
      <c r="A137" s="23" t="s">
        <v>66</v>
      </c>
      <c r="B137" s="24"/>
      <c r="C137" s="24"/>
      <c r="D137" s="24"/>
      <c r="E137" s="24"/>
      <c r="F137" s="24"/>
      <c r="G137" s="24">
        <f t="shared" si="15"/>
        <v>0</v>
      </c>
    </row>
    <row r="138" spans="1:7" s="18" customFormat="1" x14ac:dyDescent="0.2">
      <c r="A138" s="23" t="s">
        <v>67</v>
      </c>
      <c r="B138" s="24"/>
      <c r="C138" s="24"/>
      <c r="D138" s="24"/>
      <c r="E138" s="24"/>
      <c r="F138" s="24"/>
      <c r="G138" s="24">
        <f t="shared" si="15"/>
        <v>0</v>
      </c>
    </row>
    <row r="139" spans="1:7" s="18" customFormat="1" x14ac:dyDescent="0.2">
      <c r="A139" s="23" t="s">
        <v>68</v>
      </c>
      <c r="B139" s="24"/>
      <c r="C139" s="24"/>
      <c r="D139" s="24"/>
      <c r="E139" s="24"/>
      <c r="F139" s="24"/>
      <c r="G139" s="24">
        <f t="shared" si="15"/>
        <v>0</v>
      </c>
    </row>
    <row r="140" spans="1:7" s="18" customFormat="1" x14ac:dyDescent="0.2">
      <c r="A140" s="23" t="s">
        <v>69</v>
      </c>
      <c r="B140" s="24"/>
      <c r="C140" s="24"/>
      <c r="D140" s="24"/>
      <c r="E140" s="24"/>
      <c r="F140" s="24"/>
      <c r="G140" s="24">
        <f t="shared" si="15"/>
        <v>0</v>
      </c>
    </row>
    <row r="141" spans="1:7" s="18" customFormat="1" x14ac:dyDescent="0.2">
      <c r="A141" s="21" t="s">
        <v>70</v>
      </c>
      <c r="B141" s="22">
        <f>SUM(B142:B144)</f>
        <v>0</v>
      </c>
      <c r="C141" s="22">
        <f t="shared" ref="C141:F141" si="22">SUM(C142:C144)</f>
        <v>0</v>
      </c>
      <c r="D141" s="22">
        <f t="shared" si="22"/>
        <v>0</v>
      </c>
      <c r="E141" s="22">
        <f t="shared" si="22"/>
        <v>0</v>
      </c>
      <c r="F141" s="22">
        <f t="shared" si="22"/>
        <v>0</v>
      </c>
      <c r="G141" s="22">
        <f t="shared" si="15"/>
        <v>0</v>
      </c>
    </row>
    <row r="142" spans="1:7" s="18" customFormat="1" x14ac:dyDescent="0.2">
      <c r="A142" s="23" t="s">
        <v>71</v>
      </c>
      <c r="B142" s="24"/>
      <c r="C142" s="24"/>
      <c r="D142" s="24"/>
      <c r="E142" s="24"/>
      <c r="F142" s="24"/>
      <c r="G142" s="24">
        <f t="shared" si="15"/>
        <v>0</v>
      </c>
    </row>
    <row r="143" spans="1:7" s="18" customFormat="1" x14ac:dyDescent="0.2">
      <c r="A143" s="23" t="s">
        <v>72</v>
      </c>
      <c r="B143" s="24"/>
      <c r="C143" s="24"/>
      <c r="D143" s="24"/>
      <c r="E143" s="24"/>
      <c r="F143" s="24"/>
      <c r="G143" s="24">
        <f t="shared" si="15"/>
        <v>0</v>
      </c>
    </row>
    <row r="144" spans="1:7" s="18" customFormat="1" x14ac:dyDescent="0.2">
      <c r="A144" s="23" t="s">
        <v>73</v>
      </c>
      <c r="B144" s="24"/>
      <c r="C144" s="24"/>
      <c r="D144" s="24"/>
      <c r="E144" s="24"/>
      <c r="F144" s="24"/>
      <c r="G144" s="24">
        <f t="shared" si="15"/>
        <v>0</v>
      </c>
    </row>
    <row r="145" spans="1:10" s="18" customFormat="1" x14ac:dyDescent="0.2">
      <c r="A145" s="21" t="s">
        <v>74</v>
      </c>
      <c r="B145" s="22">
        <f>SUM(B146:B152)</f>
        <v>1585935.2</v>
      </c>
      <c r="C145" s="22">
        <f t="shared" ref="C145:F145" si="23">SUM(C146:C152)</f>
        <v>461705.54</v>
      </c>
      <c r="D145" s="22">
        <f t="shared" si="23"/>
        <v>2047640.74</v>
      </c>
      <c r="E145" s="22">
        <f t="shared" si="23"/>
        <v>1942822.4</v>
      </c>
      <c r="F145" s="22">
        <f t="shared" si="23"/>
        <v>1942822.4</v>
      </c>
      <c r="G145" s="22">
        <f t="shared" ref="G145:G152" si="24">D145-E145</f>
        <v>104818.34000000008</v>
      </c>
    </row>
    <row r="146" spans="1:10" s="18" customFormat="1" x14ac:dyDescent="0.2">
      <c r="A146" s="23" t="s">
        <v>75</v>
      </c>
      <c r="B146" s="24">
        <v>1385935.2</v>
      </c>
      <c r="C146" s="24">
        <v>461705.54</v>
      </c>
      <c r="D146" s="24">
        <v>1847640.74</v>
      </c>
      <c r="E146" s="24">
        <v>1847640.74</v>
      </c>
      <c r="F146" s="24">
        <v>1847640.74</v>
      </c>
      <c r="G146" s="24">
        <f t="shared" si="24"/>
        <v>0</v>
      </c>
    </row>
    <row r="147" spans="1:10" s="18" customFormat="1" x14ac:dyDescent="0.2">
      <c r="A147" s="23" t="s">
        <v>76</v>
      </c>
      <c r="B147" s="24">
        <v>200000</v>
      </c>
      <c r="C147" s="24">
        <v>0</v>
      </c>
      <c r="D147" s="24">
        <v>200000</v>
      </c>
      <c r="E147" s="24">
        <v>95181.66</v>
      </c>
      <c r="F147" s="24">
        <v>95181.66</v>
      </c>
      <c r="G147" s="24">
        <f t="shared" si="24"/>
        <v>104818.34</v>
      </c>
    </row>
    <row r="148" spans="1:10" s="18" customFormat="1" x14ac:dyDescent="0.2">
      <c r="A148" s="23" t="s">
        <v>77</v>
      </c>
      <c r="B148" s="24"/>
      <c r="C148" s="24"/>
      <c r="D148" s="24"/>
      <c r="E148" s="24"/>
      <c r="F148" s="24"/>
      <c r="G148" s="24">
        <f t="shared" si="24"/>
        <v>0</v>
      </c>
    </row>
    <row r="149" spans="1:10" s="18" customFormat="1" x14ac:dyDescent="0.2">
      <c r="A149" s="23" t="s">
        <v>78</v>
      </c>
      <c r="B149" s="24"/>
      <c r="C149" s="24"/>
      <c r="D149" s="24"/>
      <c r="E149" s="24"/>
      <c r="F149" s="24"/>
      <c r="G149" s="24">
        <f t="shared" si="24"/>
        <v>0</v>
      </c>
    </row>
    <row r="150" spans="1:10" s="18" customFormat="1" x14ac:dyDescent="0.2">
      <c r="A150" s="23" t="s">
        <v>79</v>
      </c>
      <c r="B150" s="24"/>
      <c r="C150" s="24"/>
      <c r="D150" s="24"/>
      <c r="E150" s="24"/>
      <c r="F150" s="24"/>
      <c r="G150" s="24">
        <f t="shared" si="24"/>
        <v>0</v>
      </c>
    </row>
    <row r="151" spans="1:10" s="18" customFormat="1" x14ac:dyDescent="0.2">
      <c r="A151" s="23" t="s">
        <v>80</v>
      </c>
      <c r="B151" s="24"/>
      <c r="C151" s="24"/>
      <c r="D151" s="24"/>
      <c r="E151" s="24"/>
      <c r="F151" s="24"/>
      <c r="G151" s="24">
        <f t="shared" si="24"/>
        <v>0</v>
      </c>
    </row>
    <row r="152" spans="1:10" s="18" customFormat="1" x14ac:dyDescent="0.2">
      <c r="A152" s="23" t="s">
        <v>81</v>
      </c>
      <c r="B152" s="24"/>
      <c r="C152" s="24"/>
      <c r="D152" s="24"/>
      <c r="E152" s="24"/>
      <c r="F152" s="24"/>
      <c r="G152" s="24">
        <f t="shared" si="24"/>
        <v>0</v>
      </c>
    </row>
    <row r="153" spans="1:10" s="18" customFormat="1" ht="5.0999999999999996" customHeight="1" x14ac:dyDescent="0.2">
      <c r="A153" s="21"/>
      <c r="B153" s="24"/>
      <c r="C153" s="24"/>
      <c r="D153" s="24"/>
      <c r="E153" s="24"/>
      <c r="F153" s="24"/>
      <c r="G153" s="24"/>
    </row>
    <row r="154" spans="1:10" s="18" customFormat="1" x14ac:dyDescent="0.2">
      <c r="A154" s="27" t="s">
        <v>83</v>
      </c>
      <c r="B154" s="22">
        <f>B4+B79</f>
        <v>382117055.64999998</v>
      </c>
      <c r="C154" s="22">
        <f t="shared" ref="C154:G154" si="25">C4+C79</f>
        <v>74992403.560000002</v>
      </c>
      <c r="D154" s="22">
        <f t="shared" si="25"/>
        <v>457109459.21000004</v>
      </c>
      <c r="E154" s="22">
        <f t="shared" si="25"/>
        <v>346155401.05000007</v>
      </c>
      <c r="F154" s="22">
        <f t="shared" si="25"/>
        <v>331457827.20000005</v>
      </c>
      <c r="G154" s="22">
        <f t="shared" si="25"/>
        <v>110954058.16000003</v>
      </c>
    </row>
    <row r="155" spans="1:10" ht="5.0999999999999996" customHeight="1" x14ac:dyDescent="0.2">
      <c r="A155" s="1"/>
      <c r="B155" s="2"/>
      <c r="C155" s="2"/>
      <c r="D155" s="2"/>
      <c r="E155" s="2"/>
      <c r="F155" s="2"/>
      <c r="G155" s="2"/>
    </row>
    <row r="156" spans="1:10" x14ac:dyDescent="0.2">
      <c r="I156" s="34"/>
      <c r="J156" s="35"/>
    </row>
    <row r="157" spans="1:10" s="40" customFormat="1" ht="11.25" x14ac:dyDescent="0.2">
      <c r="A157" s="36"/>
      <c r="B157" s="37"/>
      <c r="C157" s="37"/>
      <c r="D157" s="37"/>
      <c r="E157" s="38"/>
      <c r="F157" s="39"/>
    </row>
    <row r="158" spans="1:10" s="44" customFormat="1" ht="11.25" x14ac:dyDescent="0.2">
      <c r="A158" s="41"/>
      <c r="B158" s="42"/>
      <c r="C158" s="42"/>
      <c r="D158" s="43"/>
      <c r="E158" s="41"/>
    </row>
    <row r="159" spans="1:10" s="44" customFormat="1" ht="11.25" x14ac:dyDescent="0.2">
      <c r="A159" s="41"/>
      <c r="B159" s="42"/>
      <c r="C159" s="42"/>
      <c r="D159" s="43"/>
      <c r="E159" s="41"/>
    </row>
    <row r="160" spans="1:10" s="44" customFormat="1" ht="11.25" x14ac:dyDescent="0.2">
      <c r="A160" s="41"/>
      <c r="B160" s="42"/>
      <c r="C160" s="42"/>
      <c r="D160" s="43"/>
      <c r="E160" s="41"/>
    </row>
    <row r="161" spans="1:5" s="44" customFormat="1" ht="11.25" x14ac:dyDescent="0.2">
      <c r="A161" s="41"/>
      <c r="B161" s="42"/>
      <c r="C161" s="42"/>
      <c r="D161" s="43"/>
      <c r="E161" s="41"/>
    </row>
    <row r="162" spans="1:5" s="44" customFormat="1" ht="11.25" x14ac:dyDescent="0.2">
      <c r="A162" s="41"/>
      <c r="B162" s="42"/>
      <c r="C162" s="42"/>
      <c r="D162" s="43"/>
      <c r="E162" s="41"/>
    </row>
    <row r="163" spans="1:5" s="44" customFormat="1" ht="11.25" x14ac:dyDescent="0.2">
      <c r="A163" s="41"/>
      <c r="B163" s="42"/>
      <c r="C163" s="42"/>
      <c r="D163" s="43"/>
      <c r="E163" s="41"/>
    </row>
    <row r="164" spans="1:5" s="44" customFormat="1" ht="11.25" x14ac:dyDescent="0.2">
      <c r="A164" s="41"/>
      <c r="B164" s="42"/>
      <c r="C164" s="42"/>
      <c r="D164" s="43"/>
      <c r="E164" s="41"/>
    </row>
    <row r="165" spans="1:5" s="44" customFormat="1" ht="11.25" x14ac:dyDescent="0.2">
      <c r="A165" s="41"/>
      <c r="B165" s="42"/>
      <c r="C165" s="42"/>
      <c r="D165" s="43"/>
      <c r="E165" s="41"/>
    </row>
    <row r="166" spans="1:5" s="3" customFormat="1" ht="11.25" x14ac:dyDescent="0.2"/>
    <row r="167" spans="1:5" s="3" customFormat="1" ht="11.25" x14ac:dyDescent="0.2"/>
    <row r="168" spans="1:5" s="3" customFormat="1" ht="11.25" x14ac:dyDescent="0.2"/>
    <row r="169" spans="1:5" s="3" customFormat="1" ht="11.25" x14ac:dyDescent="0.2"/>
    <row r="170" spans="1:5" s="3" customFormat="1" ht="11.25" x14ac:dyDescent="0.2"/>
    <row r="171" spans="1:5" s="3" customFormat="1" ht="11.25" x14ac:dyDescent="0.2"/>
    <row r="172" spans="1:5" s="3" customFormat="1" ht="11.25" x14ac:dyDescent="0.2"/>
    <row r="173" spans="1:5" s="3" customFormat="1" ht="11.25" x14ac:dyDescent="0.2"/>
    <row r="174" spans="1:5" s="3" customFormat="1" ht="11.25" x14ac:dyDescent="0.2"/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F6a</vt:lpstr>
      <vt:lpstr>'F6a'!Títulos_a_imprimir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2017-04-26T22:47:19Z</cp:lastPrinted>
  <dcterms:created xsi:type="dcterms:W3CDTF">2017-01-11T17:22:36Z</dcterms:created>
  <dcterms:modified xsi:type="dcterms:W3CDTF">2017-08-22T15:59:13Z</dcterms:modified>
</cp:coreProperties>
</file>