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Escritorio\"/>
    </mc:Choice>
  </mc:AlternateContent>
  <bookViews>
    <workbookView xWindow="0" yWindow="0" windowWidth="28800" windowHeight="12045" firstSheet="6" activeTab="13"/>
  </bookViews>
  <sheets>
    <sheet name="Datos Generales" sheetId="15" r:id="rId1"/>
    <sheet name="Formato 1" sheetId="2" r:id="rId2"/>
    <sheet name="Formato 2" sheetId="3" r:id="rId3"/>
    <sheet name="Formato 3" sheetId="4" r:id="rId4"/>
    <sheet name="Formato 4" sheetId="5" r:id="rId5"/>
    <sheet name="Formato 5" sheetId="6" r:id="rId6"/>
    <sheet name="Formato 6 a)" sheetId="1" r:id="rId7"/>
    <sheet name="Formato 6 b)" sheetId="7" r:id="rId8"/>
    <sheet name="Formato 6 c)" sheetId="8" r:id="rId9"/>
    <sheet name="Formato 6 d)" sheetId="9" r:id="rId10"/>
    <sheet name="Formato 7 a)" sheetId="10" r:id="rId11"/>
    <sheet name="Formato 7 b)" sheetId="11" r:id="rId12"/>
    <sheet name="Formatp 7 c)" sheetId="12" r:id="rId13"/>
    <sheet name="Formato 7 d)" sheetId="13" r:id="rId14"/>
    <sheet name="Formato 8" sheetId="14" r:id="rId15"/>
  </sheets>
  <externalReferences>
    <externalReference r:id="rId16"/>
  </externalReferences>
  <definedNames>
    <definedName name="ANIO">'[1]Info General'!$D$20</definedName>
    <definedName name="ANIO_INFORME">#REF!</definedName>
    <definedName name="ANIO1P">#REF!</definedName>
    <definedName name="ANIO1R">#REF!</definedName>
    <definedName name="ANIO2P">#REF!</definedName>
    <definedName name="ANIO2R">#REF!</definedName>
    <definedName name="ANIO3P">#REF!</definedName>
    <definedName name="ANIO3R">#REF!</definedName>
    <definedName name="ANIO4P">#REF!</definedName>
    <definedName name="ANIO4R">#REF!</definedName>
    <definedName name="ANIO5P">#REF!</definedName>
    <definedName name="ANIO5R">#REF!</definedName>
    <definedName name="ANIO6P">#REF!</definedName>
    <definedName name="APP_FIN_04">'Formato 3'!$E$13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0">'Formato 3'!$K$8</definedName>
    <definedName name="APP_T4">'Formato 3'!$E$8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ENTE_PUBLICO">#REF!</definedName>
    <definedName name="ENTE_PUBLICO_A">#REF!</definedName>
    <definedName name="ENTIDAD">#REF!</definedName>
    <definedName name="GASTO_E_FIN_01">'Formato 6 b)'!$B$85</definedName>
    <definedName name="GASTO_E_FIN_02">'Formato 6 b)'!$C$85</definedName>
    <definedName name="GASTO_E_FIN_03">'Formato 6 b)'!$D$85</definedName>
    <definedName name="GASTO_E_FIN_04">'Formato 6 b)'!$E$85</definedName>
    <definedName name="GASTO_E_FIN_05">'Formato 6 b)'!$F$85</definedName>
    <definedName name="GASTO_E_FIN_06">'Formato 6 b)'!$G$85</definedName>
    <definedName name="GASTO_E_T1">'Formato 6 b)'!$B$58</definedName>
    <definedName name="GASTO_E_T2">'Formato 6 b)'!$C$58</definedName>
    <definedName name="GASTO_E_T3">'Formato 6 b)'!$D$58</definedName>
    <definedName name="GASTO_E_T4">'Formato 6 b)'!$E$58</definedName>
    <definedName name="GASTO_E_T5">'Formato 6 b)'!$F$58</definedName>
    <definedName name="GASTO_E_T6">'Formato 6 b)'!$G$58</definedName>
    <definedName name="GASTO_NE_FIN_01">'Formato 6 b)'!$B$57</definedName>
    <definedName name="GASTO_NE_FIN_02">'Formato 6 b)'!$C$57</definedName>
    <definedName name="GASTO_NE_FIN_03">'Formato 6 b)'!$D$57</definedName>
    <definedName name="GASTO_NE_FIN_04">'Formato 6 b)'!$E$57</definedName>
    <definedName name="GASTO_NE_FIN_05">'Formato 6 b)'!$F$57</definedName>
    <definedName name="GASTO_NE_FIN_06">'Formato 6 b)'!$G$57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ONTO1">'[1]Info General'!$D$18</definedName>
    <definedName name="MONTO2">'[1]Info General'!$E$18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TROS_FIN_04">'Formato 3'!$E$19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0">'Formato 3'!$K$14</definedName>
    <definedName name="OTROS_T4">'Formato 3'!$E$14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_INFORME">'[1]Info General'!$C$14</definedName>
    <definedName name="SALDO_PENDIENTE">'[1]Info General'!$F$18</definedName>
    <definedName name="TRIMESTRE">#REF!</definedName>
    <definedName name="ULTIMO">'[1]Info General'!$E$20</definedName>
    <definedName name="ULTIMO_SALDO">'[1]Info General'!$F$20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2" l="1"/>
  <c r="F134" i="1" l="1"/>
  <c r="D41" i="3"/>
  <c r="C41" i="3"/>
  <c r="B41" i="3"/>
  <c r="G24" i="13"/>
  <c r="G18" i="13"/>
  <c r="F18" i="13"/>
  <c r="E18" i="13"/>
  <c r="D18" i="13"/>
  <c r="D29" i="13" s="1"/>
  <c r="C18" i="13"/>
  <c r="B18" i="13"/>
  <c r="G7" i="13"/>
  <c r="G29" i="13" s="1"/>
  <c r="F7" i="13"/>
  <c r="F29" i="13" s="1"/>
  <c r="E7" i="13"/>
  <c r="D7" i="13"/>
  <c r="C7" i="13"/>
  <c r="B7" i="13"/>
  <c r="B29" i="13" s="1"/>
  <c r="G5" i="13"/>
  <c r="F5" i="13"/>
  <c r="E5" i="13"/>
  <c r="D5" i="13"/>
  <c r="C5" i="13"/>
  <c r="B5" i="13"/>
  <c r="G36" i="12"/>
  <c r="F36" i="12"/>
  <c r="E36" i="12"/>
  <c r="D36" i="12"/>
  <c r="C36" i="12"/>
  <c r="B36" i="12"/>
  <c r="G28" i="12"/>
  <c r="F28" i="12"/>
  <c r="E28" i="12"/>
  <c r="D28" i="12"/>
  <c r="C28" i="12"/>
  <c r="B28" i="12"/>
  <c r="G21" i="12"/>
  <c r="F21" i="12"/>
  <c r="E21" i="12"/>
  <c r="D21" i="12"/>
  <c r="C21" i="12"/>
  <c r="B21" i="12"/>
  <c r="B31" i="12" s="1"/>
  <c r="G7" i="12"/>
  <c r="G31" i="12" s="1"/>
  <c r="F7" i="12"/>
  <c r="E7" i="12"/>
  <c r="D7" i="12"/>
  <c r="C7" i="12"/>
  <c r="B7" i="12"/>
  <c r="G5" i="12"/>
  <c r="F5" i="12"/>
  <c r="E5" i="12"/>
  <c r="D5" i="12"/>
  <c r="C5" i="12"/>
  <c r="B5" i="12"/>
  <c r="G19" i="11"/>
  <c r="F19" i="11"/>
  <c r="E19" i="11"/>
  <c r="D19" i="11"/>
  <c r="C19" i="11"/>
  <c r="B19" i="11"/>
  <c r="G8" i="11"/>
  <c r="F8" i="11"/>
  <c r="E8" i="11"/>
  <c r="D8" i="11"/>
  <c r="D30" i="11" s="1"/>
  <c r="C8" i="11"/>
  <c r="C30" i="11" s="1"/>
  <c r="B8" i="11"/>
  <c r="B30" i="11" s="1"/>
  <c r="G6" i="11"/>
  <c r="F6" i="11"/>
  <c r="E6" i="11"/>
  <c r="D6" i="11"/>
  <c r="C6" i="11"/>
  <c r="B6" i="11"/>
  <c r="G37" i="10"/>
  <c r="F37" i="10"/>
  <c r="E37" i="10"/>
  <c r="D37" i="10"/>
  <c r="C37" i="10"/>
  <c r="B37" i="10"/>
  <c r="G29" i="10"/>
  <c r="F29" i="10"/>
  <c r="E29" i="10"/>
  <c r="D29" i="10"/>
  <c r="C29" i="10"/>
  <c r="B29" i="10"/>
  <c r="G22" i="10"/>
  <c r="F22" i="10"/>
  <c r="E22" i="10"/>
  <c r="D22" i="10"/>
  <c r="C22" i="10"/>
  <c r="B22" i="10"/>
  <c r="C14" i="10"/>
  <c r="D14" i="10" s="1"/>
  <c r="E14" i="10" s="1"/>
  <c r="F14" i="10" s="1"/>
  <c r="G14" i="10" s="1"/>
  <c r="C13" i="10"/>
  <c r="D13" i="10" s="1"/>
  <c r="E13" i="10" s="1"/>
  <c r="F13" i="10" s="1"/>
  <c r="G13" i="10" s="1"/>
  <c r="D12" i="10"/>
  <c r="E12" i="10" s="1"/>
  <c r="F12" i="10" s="1"/>
  <c r="G12" i="10" s="1"/>
  <c r="C12" i="10"/>
  <c r="C11" i="10"/>
  <c r="D11" i="10" s="1"/>
  <c r="E11" i="10" s="1"/>
  <c r="F11" i="10" s="1"/>
  <c r="G11" i="10" s="1"/>
  <c r="C9" i="10"/>
  <c r="B8" i="10"/>
  <c r="G6" i="10"/>
  <c r="F6" i="10"/>
  <c r="E6" i="10"/>
  <c r="D6" i="10"/>
  <c r="C6" i="10"/>
  <c r="B6" i="10"/>
  <c r="G21" i="9"/>
  <c r="G33" i="9" s="1"/>
  <c r="F21" i="9"/>
  <c r="F33" i="9" s="1"/>
  <c r="E21" i="9"/>
  <c r="D21" i="9"/>
  <c r="C21" i="9"/>
  <c r="B21" i="9"/>
  <c r="G9" i="9"/>
  <c r="F9" i="9"/>
  <c r="E9" i="9"/>
  <c r="D9" i="9"/>
  <c r="D33" i="9" s="1"/>
  <c r="C9" i="9"/>
  <c r="B9" i="9"/>
  <c r="G71" i="8"/>
  <c r="F71" i="8"/>
  <c r="E71" i="8"/>
  <c r="D71" i="8"/>
  <c r="C71" i="8"/>
  <c r="B71" i="8"/>
  <c r="G61" i="8"/>
  <c r="F61" i="8"/>
  <c r="E61" i="8"/>
  <c r="D61" i="8"/>
  <c r="D43" i="8" s="1"/>
  <c r="C61" i="8"/>
  <c r="B61" i="8"/>
  <c r="F55" i="8"/>
  <c r="F53" i="8" s="1"/>
  <c r="E55" i="8"/>
  <c r="E53" i="8" s="1"/>
  <c r="D53" i="8"/>
  <c r="C53" i="8"/>
  <c r="B53" i="8"/>
  <c r="G44" i="8"/>
  <c r="F44" i="8"/>
  <c r="E44" i="8"/>
  <c r="D44" i="8"/>
  <c r="C44" i="8"/>
  <c r="B44" i="8"/>
  <c r="G37" i="8"/>
  <c r="F37" i="8"/>
  <c r="E37" i="8"/>
  <c r="D37" i="8"/>
  <c r="C37" i="8"/>
  <c r="B37" i="8"/>
  <c r="G27" i="8"/>
  <c r="F27" i="8"/>
  <c r="E27" i="8"/>
  <c r="D27" i="8"/>
  <c r="C27" i="8"/>
  <c r="B27" i="8"/>
  <c r="G19" i="8"/>
  <c r="F19" i="8"/>
  <c r="E19" i="8"/>
  <c r="D19" i="8"/>
  <c r="C19" i="8"/>
  <c r="C9" i="8" s="1"/>
  <c r="B19" i="8"/>
  <c r="G10" i="8"/>
  <c r="F10" i="8"/>
  <c r="E10" i="8"/>
  <c r="D10" i="8"/>
  <c r="C10" i="8"/>
  <c r="B10" i="8"/>
  <c r="B9" i="8" s="1"/>
  <c r="G9" i="8"/>
  <c r="F9" i="8"/>
  <c r="G90" i="1"/>
  <c r="G91" i="1"/>
  <c r="G92" i="1"/>
  <c r="G72" i="1"/>
  <c r="G70" i="1"/>
  <c r="G69" i="1"/>
  <c r="G68" i="1"/>
  <c r="G67" i="1"/>
  <c r="G66" i="1"/>
  <c r="G65" i="1"/>
  <c r="G64" i="1"/>
  <c r="G63" i="1"/>
  <c r="G80" i="1"/>
  <c r="G79" i="1"/>
  <c r="G78" i="1"/>
  <c r="G77" i="1"/>
  <c r="G76" i="1"/>
  <c r="G74" i="1"/>
  <c r="G73" i="1"/>
  <c r="G81" i="1"/>
  <c r="G82" i="1"/>
  <c r="G50" i="1"/>
  <c r="G49" i="1"/>
  <c r="G42" i="1"/>
  <c r="G41" i="1"/>
  <c r="G40" i="1"/>
  <c r="G39" i="1"/>
  <c r="G36" i="1"/>
  <c r="G35" i="1"/>
  <c r="G34" i="1"/>
  <c r="G32" i="1"/>
  <c r="G33" i="1"/>
  <c r="G30" i="1"/>
  <c r="G31" i="1"/>
  <c r="G29" i="1"/>
  <c r="G27" i="1"/>
  <c r="G25" i="1"/>
  <c r="G24" i="1"/>
  <c r="G23" i="1"/>
  <c r="G22" i="1"/>
  <c r="G20" i="1"/>
  <c r="G19" i="1"/>
  <c r="G17" i="1"/>
  <c r="G15" i="1"/>
  <c r="G14" i="1"/>
  <c r="G13" i="1"/>
  <c r="G12" i="1"/>
  <c r="G11" i="1"/>
  <c r="G10" i="1" s="1"/>
  <c r="G26" i="1"/>
  <c r="G21" i="1"/>
  <c r="D9" i="8" l="1"/>
  <c r="C43" i="8"/>
  <c r="C77" i="8" s="1"/>
  <c r="B33" i="9"/>
  <c r="G30" i="11"/>
  <c r="D31" i="12"/>
  <c r="F31" i="12"/>
  <c r="E29" i="13"/>
  <c r="C29" i="13"/>
  <c r="E9" i="8"/>
  <c r="E43" i="8"/>
  <c r="C33" i="9"/>
  <c r="E31" i="12"/>
  <c r="B32" i="10"/>
  <c r="C8" i="10"/>
  <c r="F43" i="8"/>
  <c r="F77" i="8" s="1"/>
  <c r="E33" i="9"/>
  <c r="E30" i="11"/>
  <c r="B43" i="8"/>
  <c r="B77" i="8" s="1"/>
  <c r="G55" i="8"/>
  <c r="G53" i="8" s="1"/>
  <c r="G43" i="8" s="1"/>
  <c r="G77" i="8" s="1"/>
  <c r="D9" i="10"/>
  <c r="D8" i="10" s="1"/>
  <c r="D32" i="10" s="1"/>
  <c r="F30" i="11"/>
  <c r="C31" i="12"/>
  <c r="C32" i="10"/>
  <c r="E77" i="8"/>
  <c r="D77" i="8"/>
  <c r="G153" i="1"/>
  <c r="G151" i="1"/>
  <c r="G152" i="1"/>
  <c r="C66" i="7"/>
  <c r="C86" i="7" s="1"/>
  <c r="D66" i="7"/>
  <c r="D86" i="7" s="1"/>
  <c r="F66" i="7"/>
  <c r="F86" i="7" s="1"/>
  <c r="F9" i="7"/>
  <c r="C9" i="7"/>
  <c r="D9" i="7"/>
  <c r="B9" i="7"/>
  <c r="E9" i="7"/>
  <c r="E66" i="7"/>
  <c r="B66" i="7"/>
  <c r="B86" i="7" s="1"/>
  <c r="G73" i="7"/>
  <c r="G67" i="7"/>
  <c r="G68" i="7"/>
  <c r="G70" i="7"/>
  <c r="G71" i="7"/>
  <c r="G72" i="7"/>
  <c r="G74" i="7"/>
  <c r="G75" i="7"/>
  <c r="G76" i="7"/>
  <c r="G77" i="7"/>
  <c r="G78" i="7"/>
  <c r="G79" i="7"/>
  <c r="G80" i="7"/>
  <c r="G81" i="7"/>
  <c r="G82" i="7"/>
  <c r="G83" i="7"/>
  <c r="G69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16" i="7"/>
  <c r="G15" i="7"/>
  <c r="G14" i="7"/>
  <c r="G13" i="7"/>
  <c r="G12" i="7"/>
  <c r="G11" i="7"/>
  <c r="G10" i="7"/>
  <c r="G75" i="6"/>
  <c r="F75" i="6"/>
  <c r="E75" i="6"/>
  <c r="D75" i="6"/>
  <c r="C75" i="6"/>
  <c r="B75" i="6"/>
  <c r="G67" i="6"/>
  <c r="F67" i="6"/>
  <c r="E67" i="6"/>
  <c r="D67" i="6"/>
  <c r="C67" i="6"/>
  <c r="B67" i="6"/>
  <c r="G63" i="6"/>
  <c r="G59" i="6"/>
  <c r="F59" i="6"/>
  <c r="E59" i="6"/>
  <c r="D59" i="6"/>
  <c r="C59" i="6"/>
  <c r="B59" i="6"/>
  <c r="G54" i="6"/>
  <c r="F54" i="6"/>
  <c r="E54" i="6"/>
  <c r="D54" i="6"/>
  <c r="C54" i="6"/>
  <c r="B54" i="6"/>
  <c r="G45" i="6"/>
  <c r="F45" i="6"/>
  <c r="E45" i="6"/>
  <c r="D45" i="6"/>
  <c r="D65" i="6" s="1"/>
  <c r="C45" i="6"/>
  <c r="B45" i="6"/>
  <c r="G37" i="6"/>
  <c r="F37" i="6"/>
  <c r="E37" i="6"/>
  <c r="D37" i="6"/>
  <c r="C37" i="6"/>
  <c r="B37" i="6"/>
  <c r="G33" i="6"/>
  <c r="G32" i="6"/>
  <c r="G31" i="6"/>
  <c r="G30" i="6"/>
  <c r="G29" i="6"/>
  <c r="G28" i="6" s="1"/>
  <c r="F28" i="6"/>
  <c r="E28" i="6"/>
  <c r="D28" i="6"/>
  <c r="D41" i="6" s="1"/>
  <c r="D70" i="6" s="1"/>
  <c r="C28" i="6"/>
  <c r="B28" i="6"/>
  <c r="G27" i="6"/>
  <c r="G26" i="6"/>
  <c r="G25" i="6"/>
  <c r="G24" i="6"/>
  <c r="G23" i="6"/>
  <c r="G22" i="6"/>
  <c r="G21" i="6"/>
  <c r="G20" i="6"/>
  <c r="G19" i="6"/>
  <c r="G18" i="6"/>
  <c r="G17" i="6"/>
  <c r="F16" i="6"/>
  <c r="F41" i="6" s="1"/>
  <c r="E16" i="6"/>
  <c r="E41" i="6" s="1"/>
  <c r="D16" i="6"/>
  <c r="C16" i="6"/>
  <c r="C41" i="6" s="1"/>
  <c r="B16" i="6"/>
  <c r="B70" i="5"/>
  <c r="D68" i="5"/>
  <c r="C68" i="5"/>
  <c r="B65" i="5"/>
  <c r="B55" i="5"/>
  <c r="D42" i="5"/>
  <c r="D66" i="5" s="1"/>
  <c r="C42" i="5"/>
  <c r="C66" i="5" s="1"/>
  <c r="B42" i="5"/>
  <c r="B66" i="5" s="1"/>
  <c r="D41" i="5"/>
  <c r="D51" i="5" s="1"/>
  <c r="C41" i="5"/>
  <c r="C51" i="5" s="1"/>
  <c r="B41" i="5"/>
  <c r="B51" i="5" s="1"/>
  <c r="D39" i="5"/>
  <c r="D65" i="5" s="1"/>
  <c r="C39" i="5"/>
  <c r="C65" i="5" s="1"/>
  <c r="B39" i="5"/>
  <c r="D38" i="5"/>
  <c r="C38" i="5"/>
  <c r="C50" i="5" s="1"/>
  <c r="B38" i="5"/>
  <c r="B50" i="5" s="1"/>
  <c r="D31" i="5"/>
  <c r="C31" i="5"/>
  <c r="B31" i="5"/>
  <c r="D30" i="5"/>
  <c r="C30" i="5"/>
  <c r="C29" i="5" s="1"/>
  <c r="B30" i="5"/>
  <c r="B29" i="5" s="1"/>
  <c r="D19" i="5"/>
  <c r="D70" i="5" s="1"/>
  <c r="C19" i="5"/>
  <c r="C70" i="5" s="1"/>
  <c r="D18" i="5"/>
  <c r="D55" i="5" s="1"/>
  <c r="C18" i="5"/>
  <c r="C55" i="5" s="1"/>
  <c r="B17" i="5"/>
  <c r="D9" i="5"/>
  <c r="D48" i="5" s="1"/>
  <c r="C9" i="5"/>
  <c r="C48" i="5" s="1"/>
  <c r="C17" i="5" l="1"/>
  <c r="B41" i="6"/>
  <c r="C65" i="6"/>
  <c r="C70" i="6" s="1"/>
  <c r="G66" i="7"/>
  <c r="G86" i="7" s="1"/>
  <c r="B40" i="5"/>
  <c r="F65" i="6"/>
  <c r="D10" i="5" s="1"/>
  <c r="D63" i="5" s="1"/>
  <c r="E9" i="10"/>
  <c r="F9" i="10" s="1"/>
  <c r="E65" i="6"/>
  <c r="C10" i="5" s="1"/>
  <c r="C63" i="5" s="1"/>
  <c r="G65" i="6"/>
  <c r="G9" i="7"/>
  <c r="E86" i="7"/>
  <c r="G16" i="6"/>
  <c r="G41" i="6" s="1"/>
  <c r="B65" i="6"/>
  <c r="B10" i="5" s="1"/>
  <c r="B63" i="5" s="1"/>
  <c r="E8" i="10"/>
  <c r="E32" i="10" s="1"/>
  <c r="D29" i="5"/>
  <c r="B37" i="5"/>
  <c r="D37" i="5"/>
  <c r="B64" i="5"/>
  <c r="C37" i="5"/>
  <c r="E70" i="6"/>
  <c r="B49" i="5"/>
  <c r="C64" i="5"/>
  <c r="C72" i="5" s="1"/>
  <c r="C74" i="5" s="1"/>
  <c r="C49" i="5"/>
  <c r="D64" i="5"/>
  <c r="D72" i="5" s="1"/>
  <c r="D74" i="5" s="1"/>
  <c r="D50" i="5"/>
  <c r="D49" i="5" s="1"/>
  <c r="D17" i="5"/>
  <c r="C40" i="5"/>
  <c r="D40" i="5"/>
  <c r="B70" i="6" l="1"/>
  <c r="B9" i="5"/>
  <c r="B48" i="5" s="1"/>
  <c r="B44" i="5"/>
  <c r="B11" i="5" s="1"/>
  <c r="B8" i="5" s="1"/>
  <c r="F70" i="6"/>
  <c r="G9" i="10"/>
  <c r="G8" i="10" s="1"/>
  <c r="G32" i="10" s="1"/>
  <c r="F8" i="10"/>
  <c r="F32" i="10" s="1"/>
  <c r="D44" i="5"/>
  <c r="D11" i="5" s="1"/>
  <c r="D8" i="5" s="1"/>
  <c r="C44" i="5"/>
  <c r="C11" i="5" s="1"/>
  <c r="C8" i="5" s="1"/>
  <c r="G70" i="6"/>
  <c r="G42" i="6"/>
  <c r="K18" i="4" l="1"/>
  <c r="K17" i="4"/>
  <c r="K16" i="4"/>
  <c r="K15" i="4"/>
  <c r="J14" i="4"/>
  <c r="I14" i="4"/>
  <c r="H14" i="4"/>
  <c r="G14" i="4"/>
  <c r="E14" i="4"/>
  <c r="K12" i="4"/>
  <c r="K11" i="4"/>
  <c r="K10" i="4"/>
  <c r="K9" i="4"/>
  <c r="J8" i="4"/>
  <c r="J20" i="4" s="1"/>
  <c r="I8" i="4"/>
  <c r="H8" i="4"/>
  <c r="H20" i="4" s="1"/>
  <c r="G8" i="4"/>
  <c r="E8" i="4"/>
  <c r="E20" i="4" s="1"/>
  <c r="K6" i="4"/>
  <c r="J6" i="4"/>
  <c r="I6" i="4"/>
  <c r="F41" i="3"/>
  <c r="E41" i="3"/>
  <c r="H27" i="3"/>
  <c r="G27" i="3"/>
  <c r="F27" i="3"/>
  <c r="E27" i="3"/>
  <c r="D27" i="3"/>
  <c r="C27" i="3"/>
  <c r="B27" i="3"/>
  <c r="H22" i="3"/>
  <c r="G22" i="3"/>
  <c r="F22" i="3"/>
  <c r="E22" i="3"/>
  <c r="D22" i="3"/>
  <c r="C22" i="3"/>
  <c r="B22" i="3"/>
  <c r="H13" i="3"/>
  <c r="G13" i="3"/>
  <c r="F13" i="3"/>
  <c r="E13" i="3"/>
  <c r="D13" i="3"/>
  <c r="C13" i="3"/>
  <c r="B13" i="3"/>
  <c r="B10" i="3"/>
  <c r="F10" i="3" s="1"/>
  <c r="F9" i="3" s="1"/>
  <c r="H9" i="3"/>
  <c r="H8" i="3" s="1"/>
  <c r="H20" i="3" s="1"/>
  <c r="G9" i="3"/>
  <c r="E9" i="3"/>
  <c r="E8" i="3" s="1"/>
  <c r="E20" i="3" s="1"/>
  <c r="D9" i="3"/>
  <c r="D8" i="3" s="1"/>
  <c r="D20" i="3" s="1"/>
  <c r="C9" i="3"/>
  <c r="C8" i="3" s="1"/>
  <c r="C20" i="3" s="1"/>
  <c r="B9" i="3"/>
  <c r="B8" i="3" s="1"/>
  <c r="B20" i="3" s="1"/>
  <c r="G8" i="3"/>
  <c r="G20" i="3" s="1"/>
  <c r="B6" i="3"/>
  <c r="A4" i="3"/>
  <c r="F75" i="2"/>
  <c r="E75" i="2"/>
  <c r="F68" i="2"/>
  <c r="E68" i="2"/>
  <c r="F63" i="2"/>
  <c r="E63" i="2"/>
  <c r="C60" i="2"/>
  <c r="B60" i="2"/>
  <c r="F57" i="2"/>
  <c r="E57" i="2"/>
  <c r="F42" i="2"/>
  <c r="E42" i="2"/>
  <c r="C41" i="2"/>
  <c r="B41" i="2"/>
  <c r="F38" i="2"/>
  <c r="E38" i="2"/>
  <c r="F31" i="2"/>
  <c r="E31" i="2"/>
  <c r="C31" i="2"/>
  <c r="B31" i="2"/>
  <c r="F27" i="2"/>
  <c r="E27" i="2"/>
  <c r="C25" i="2"/>
  <c r="C47" i="2" s="1"/>
  <c r="C62" i="2" s="1"/>
  <c r="B25" i="2"/>
  <c r="F23" i="2"/>
  <c r="E23" i="2"/>
  <c r="F19" i="2"/>
  <c r="E19" i="2"/>
  <c r="C17" i="2"/>
  <c r="B17" i="2"/>
  <c r="F9" i="2"/>
  <c r="F47" i="2" s="1"/>
  <c r="F59" i="2" s="1"/>
  <c r="E9" i="2"/>
  <c r="E47" i="2" s="1"/>
  <c r="E59" i="2" s="1"/>
  <c r="B9" i="2"/>
  <c r="F6" i="2"/>
  <c r="E6" i="2"/>
  <c r="C6" i="2"/>
  <c r="B6" i="2"/>
  <c r="A4" i="2"/>
  <c r="K8" i="4" l="1"/>
  <c r="K14" i="4"/>
  <c r="K20" i="4" s="1"/>
  <c r="F79" i="2"/>
  <c r="F81" i="2" s="1"/>
  <c r="E79" i="2"/>
  <c r="E81" i="2" s="1"/>
  <c r="F8" i="3"/>
  <c r="F20" i="3" s="1"/>
  <c r="B47" i="2"/>
  <c r="B62" i="2" s="1"/>
  <c r="I20" i="4"/>
  <c r="G20" i="4"/>
  <c r="E134" i="1"/>
  <c r="G157" i="1" l="1"/>
  <c r="G156" i="1"/>
  <c r="G155" i="1"/>
  <c r="G154" i="1"/>
  <c r="G150" i="1" s="1"/>
  <c r="F150" i="1"/>
  <c r="E150" i="1"/>
  <c r="D150" i="1"/>
  <c r="C150" i="1"/>
  <c r="B150" i="1"/>
  <c r="G149" i="1"/>
  <c r="G148" i="1"/>
  <c r="G147" i="1"/>
  <c r="F146" i="1"/>
  <c r="E146" i="1"/>
  <c r="D146" i="1"/>
  <c r="C146" i="1"/>
  <c r="B146" i="1"/>
  <c r="G145" i="1"/>
  <c r="G144" i="1"/>
  <c r="G143" i="1"/>
  <c r="G142" i="1"/>
  <c r="G141" i="1"/>
  <c r="G140" i="1"/>
  <c r="G139" i="1"/>
  <c r="G138" i="1"/>
  <c r="F137" i="1"/>
  <c r="E137" i="1"/>
  <c r="D137" i="1"/>
  <c r="C137" i="1"/>
  <c r="B137" i="1"/>
  <c r="G136" i="1"/>
  <c r="G135" i="1"/>
  <c r="G134" i="1"/>
  <c r="F133" i="1"/>
  <c r="E133" i="1"/>
  <c r="D133" i="1"/>
  <c r="C133" i="1"/>
  <c r="B133" i="1"/>
  <c r="G132" i="1"/>
  <c r="G131" i="1"/>
  <c r="G130" i="1"/>
  <c r="G129" i="1"/>
  <c r="G128" i="1"/>
  <c r="G127" i="1"/>
  <c r="G126" i="1"/>
  <c r="G125" i="1"/>
  <c r="G124" i="1"/>
  <c r="F123" i="1"/>
  <c r="E123" i="1"/>
  <c r="D123" i="1"/>
  <c r="C123" i="1"/>
  <c r="B123" i="1"/>
  <c r="G122" i="1"/>
  <c r="G121" i="1"/>
  <c r="G113" i="1" s="1"/>
  <c r="G120" i="1"/>
  <c r="G119" i="1"/>
  <c r="G118" i="1"/>
  <c r="G117" i="1"/>
  <c r="G116" i="1"/>
  <c r="G115" i="1"/>
  <c r="G114" i="1"/>
  <c r="F113" i="1"/>
  <c r="E113" i="1"/>
  <c r="D113" i="1"/>
  <c r="C113" i="1"/>
  <c r="B113" i="1"/>
  <c r="G112" i="1"/>
  <c r="G111" i="1"/>
  <c r="G110" i="1"/>
  <c r="G109" i="1"/>
  <c r="G108" i="1"/>
  <c r="G107" i="1"/>
  <c r="G106" i="1"/>
  <c r="G105" i="1"/>
  <c r="G104" i="1"/>
  <c r="F103" i="1"/>
  <c r="E103" i="1"/>
  <c r="D103" i="1"/>
  <c r="C103" i="1"/>
  <c r="B103" i="1"/>
  <c r="G102" i="1"/>
  <c r="G101" i="1"/>
  <c r="G100" i="1"/>
  <c r="G99" i="1"/>
  <c r="G98" i="1"/>
  <c r="G97" i="1"/>
  <c r="G96" i="1"/>
  <c r="G95" i="1"/>
  <c r="G94" i="1"/>
  <c r="F93" i="1"/>
  <c r="E93" i="1"/>
  <c r="D93" i="1"/>
  <c r="C93" i="1"/>
  <c r="B93" i="1"/>
  <c r="G89" i="1"/>
  <c r="G88" i="1"/>
  <c r="G87" i="1"/>
  <c r="G86" i="1"/>
  <c r="F85" i="1"/>
  <c r="E85" i="1"/>
  <c r="D85" i="1"/>
  <c r="D84" i="1" s="1"/>
  <c r="C85" i="1"/>
  <c r="B85" i="1"/>
  <c r="F75" i="1"/>
  <c r="E75" i="1"/>
  <c r="D75" i="1"/>
  <c r="G75" i="1" s="1"/>
  <c r="C75" i="1"/>
  <c r="B75" i="1"/>
  <c r="F71" i="1"/>
  <c r="E71" i="1"/>
  <c r="D71" i="1"/>
  <c r="C71" i="1"/>
  <c r="B71" i="1"/>
  <c r="F62" i="1"/>
  <c r="E62" i="1"/>
  <c r="D62" i="1"/>
  <c r="G62" i="1" s="1"/>
  <c r="C62" i="1"/>
  <c r="B62" i="1"/>
  <c r="G58" i="1"/>
  <c r="F58" i="1"/>
  <c r="E58" i="1"/>
  <c r="D58" i="1"/>
  <c r="C58" i="1"/>
  <c r="B58" i="1"/>
  <c r="B9" i="1" s="1"/>
  <c r="G57" i="1"/>
  <c r="G56" i="1"/>
  <c r="G55" i="1"/>
  <c r="G54" i="1"/>
  <c r="G53" i="1"/>
  <c r="G52" i="1"/>
  <c r="G51" i="1"/>
  <c r="F48" i="1"/>
  <c r="E48" i="1"/>
  <c r="D48" i="1"/>
  <c r="C48" i="1"/>
  <c r="B48" i="1"/>
  <c r="G47" i="1"/>
  <c r="G43" i="1"/>
  <c r="G38" i="1" s="1"/>
  <c r="F38" i="1"/>
  <c r="E38" i="1"/>
  <c r="D38" i="1"/>
  <c r="C38" i="1"/>
  <c r="B38" i="1"/>
  <c r="G37" i="1"/>
  <c r="G28" i="1" s="1"/>
  <c r="F28" i="1"/>
  <c r="E28" i="1"/>
  <c r="D28" i="1"/>
  <c r="C28" i="1"/>
  <c r="B28" i="1"/>
  <c r="G18" i="1"/>
  <c r="F18" i="1"/>
  <c r="E18" i="1"/>
  <c r="D18" i="1"/>
  <c r="C18" i="1"/>
  <c r="B18" i="1"/>
  <c r="F10" i="1"/>
  <c r="E10" i="1"/>
  <c r="E9" i="1" s="1"/>
  <c r="C14" i="5" s="1"/>
  <c r="D10" i="1"/>
  <c r="C10" i="1"/>
  <c r="B10" i="1"/>
  <c r="C53" i="5" l="1"/>
  <c r="C57" i="5" s="1"/>
  <c r="C59" i="5" s="1"/>
  <c r="C13" i="5"/>
  <c r="C21" i="5" s="1"/>
  <c r="C23" i="5" s="1"/>
  <c r="C25" i="5" s="1"/>
  <c r="C33" i="5" s="1"/>
  <c r="B14" i="5"/>
  <c r="D9" i="1"/>
  <c r="D159" i="1" s="1"/>
  <c r="B84" i="1"/>
  <c r="B15" i="5" s="1"/>
  <c r="B68" i="5" s="1"/>
  <c r="B72" i="5" s="1"/>
  <c r="B74" i="5" s="1"/>
  <c r="C84" i="1"/>
  <c r="G123" i="1"/>
  <c r="G48" i="1"/>
  <c r="E84" i="1"/>
  <c r="F9" i="1"/>
  <c r="D14" i="5" s="1"/>
  <c r="G103" i="1"/>
  <c r="G146" i="1"/>
  <c r="C9" i="1"/>
  <c r="G71" i="1"/>
  <c r="G85" i="1"/>
  <c r="G84" i="1" s="1"/>
  <c r="G93" i="1"/>
  <c r="G133" i="1"/>
  <c r="G137" i="1"/>
  <c r="F84" i="1"/>
  <c r="F159" i="1" s="1"/>
  <c r="E159" i="1"/>
  <c r="G9" i="1"/>
  <c r="B53" i="5" l="1"/>
  <c r="B57" i="5" s="1"/>
  <c r="B59" i="5" s="1"/>
  <c r="B13" i="5"/>
  <c r="B21" i="5" s="1"/>
  <c r="B23" i="5" s="1"/>
  <c r="B25" i="5" s="1"/>
  <c r="B33" i="5" s="1"/>
  <c r="C159" i="1"/>
  <c r="D53" i="5"/>
  <c r="D57" i="5" s="1"/>
  <c r="D59" i="5" s="1"/>
  <c r="D13" i="5"/>
  <c r="D21" i="5" s="1"/>
  <c r="D23" i="5" s="1"/>
  <c r="D25" i="5" s="1"/>
  <c r="D33" i="5" s="1"/>
  <c r="B159" i="1"/>
  <c r="G159" i="1"/>
</calcChain>
</file>

<file path=xl/sharedStrings.xml><?xml version="1.0" encoding="utf-8"?>
<sst xmlns="http://schemas.openxmlformats.org/spreadsheetml/2006/main" count="897" uniqueCount="630">
  <si>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</si>
  <si>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</si>
  <si>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</si>
  <si>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</si>
  <si>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</si>
  <si>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</si>
  <si>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</si>
  <si>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</si>
  <si>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</si>
  <si>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</si>
  <si>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</si>
  <si>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</si>
  <si>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</si>
  <si>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</si>
  <si>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</si>
  <si>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</si>
  <si>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</si>
  <si>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</si>
  <si>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</si>
  <si>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</si>
  <si>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</si>
  <si>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</si>
  <si>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</si>
  <si>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</si>
  <si>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</si>
  <si>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</si>
  <si>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</si>
  <si>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</si>
  <si>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</si>
  <si>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</si>
  <si>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</si>
  <si>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</si>
  <si>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</si>
  <si>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</si>
  <si>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</si>
  <si>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</si>
  <si>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</si>
  <si>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</si>
  <si>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</si>
  <si>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</si>
  <si>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</si>
  <si>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</si>
  <si>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</si>
  <si>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</si>
  <si>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</si>
  <si>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</si>
  <si>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</si>
  <si>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</si>
  <si>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</si>
  <si>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</si>
  <si>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</si>
  <si>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</si>
  <si>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</si>
  <si>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</si>
  <si>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</si>
  <si>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</si>
  <si>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</si>
  <si>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</si>
  <si>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</si>
  <si>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</si>
  <si>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</si>
  <si>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</si>
  <si>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</si>
  <si>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</si>
  <si>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</si>
  <si>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</si>
  <si>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</si>
  <si>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</si>
  <si>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</si>
  <si>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</si>
  <si>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</si>
  <si>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</si>
  <si>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</si>
  <si>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</si>
  <si>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</si>
  <si>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</si>
  <si>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</si>
  <si>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</si>
  <si>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</si>
  <si>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</si>
  <si>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</si>
  <si>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</si>
  <si>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</si>
  <si>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</si>
  <si>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</si>
  <si>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</si>
  <si>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</si>
  <si>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</si>
  <si>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1 Estado de Situación Financiera Detallado - LDF</t>
  </si>
  <si>
    <t>Estado de Situación Financiera Detallado - LDF</t>
  </si>
  <si>
    <t xml:space="preserve">   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</si>
  <si>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</si>
  <si>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</si>
  <si>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</si>
  <si>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</si>
  <si>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</si>
  <si>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</si>
  <si>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</si>
  <si>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</si>
  <si>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</si>
  <si>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</si>
  <si>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</si>
  <si>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</si>
  <si>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</si>
  <si>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</si>
  <si>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</si>
  <si>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</si>
  <si>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</si>
  <si>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</si>
  <si>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</si>
  <si>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</si>
  <si>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</si>
  <si>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</si>
  <si>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</si>
  <si>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</si>
  <si>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</si>
  <si>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</si>
  <si>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</si>
  <si>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</si>
  <si>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</si>
  <si>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</si>
  <si>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</si>
  <si>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</si>
  <si>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</si>
  <si>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</si>
  <si>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</si>
  <si>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</si>
  <si>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</si>
  <si>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</si>
  <si>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</si>
  <si>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</si>
  <si>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</si>
  <si>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</si>
  <si>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</si>
  <si>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</si>
  <si>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</si>
  <si>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</si>
  <si>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</si>
  <si>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</si>
  <si>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</si>
  <si>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</si>
  <si>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</si>
  <si>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</si>
  <si>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</si>
  <si>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</si>
  <si>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</si>
  <si>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</si>
  <si>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</si>
  <si>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</si>
  <si>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</si>
  <si>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</si>
  <si>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</si>
  <si>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</si>
  <si>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</si>
  <si>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</si>
  <si>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</si>
  <si>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</si>
  <si>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</si>
  <si>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</si>
  <si>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</si>
  <si>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</si>
  <si>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</si>
  <si>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</si>
  <si>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</si>
  <si>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</si>
  <si>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</si>
  <si>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</si>
  <si>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</si>
  <si>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</si>
  <si>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</si>
  <si>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</si>
  <si>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</si>
  <si>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</si>
  <si>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</si>
  <si>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</si>
  <si>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</si>
  <si>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</si>
  <si>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</si>
  <si>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</si>
  <si>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</si>
  <si>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</si>
  <si>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</si>
  <si>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</si>
  <si>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</si>
  <si>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</si>
  <si>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</si>
  <si>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</si>
  <si>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</si>
  <si>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</si>
  <si>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</si>
  <si>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</si>
  <si>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</si>
  <si>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</si>
  <si>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</si>
  <si>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</si>
  <si>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</si>
  <si>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</si>
  <si>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</si>
  <si>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</si>
  <si>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</si>
  <si>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</si>
  <si>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</si>
  <si>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</si>
  <si>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</si>
  <si>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</si>
  <si>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</si>
  <si>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</si>
  <si>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</si>
  <si>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</si>
  <si>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</si>
  <si>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</si>
  <si>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</si>
  <si>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</si>
  <si>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</si>
  <si>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</si>
  <si>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</si>
  <si>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</si>
  <si>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</si>
  <si>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</si>
  <si>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</si>
  <si>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</si>
  <si>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</si>
  <si>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</si>
  <si>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</si>
  <si>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</si>
  <si>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</si>
  <si>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</si>
  <si>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</si>
  <si>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</si>
  <si>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</si>
  <si>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</si>
  <si>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</si>
  <si>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</si>
  <si>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</si>
  <si>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</si>
  <si>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</si>
  <si>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</si>
  <si>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</si>
  <si>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</si>
  <si>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</si>
  <si>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</si>
  <si>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</si>
  <si>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</si>
  <si>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</si>
  <si>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</si>
  <si>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</si>
  <si>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</si>
  <si>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</si>
  <si>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</si>
  <si>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</si>
  <si>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</si>
  <si>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</si>
  <si>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</si>
  <si>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</si>
  <si>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</si>
  <si>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</si>
  <si>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</si>
  <si>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</si>
  <si>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</si>
  <si>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</si>
  <si>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</si>
  <si>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</si>
  <si>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</si>
  <si>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</si>
  <si>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</si>
  <si>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</si>
  <si>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</si>
  <si>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</si>
  <si>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</si>
  <si>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</si>
  <si>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</si>
  <si>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</si>
  <si>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</si>
  <si>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</si>
  <si>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</si>
  <si>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</si>
  <si>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</si>
  <si>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</si>
  <si>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</si>
  <si>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</si>
  <si>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</si>
  <si>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</si>
  <si>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</si>
  <si>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</si>
  <si>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</si>
  <si>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</si>
  <si>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</si>
  <si>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</si>
  <si>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</si>
  <si>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</si>
  <si>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</si>
  <si>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</si>
  <si>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</si>
  <si>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</si>
  <si>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</si>
  <si>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</si>
  <si>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</si>
  <si>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</si>
  <si>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</si>
  <si>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</si>
  <si>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</si>
  <si>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</si>
  <si>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</si>
  <si>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</si>
  <si>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</si>
  <si>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</si>
  <si>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</si>
  <si>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</si>
  <si>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</si>
  <si>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</si>
  <si>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</si>
  <si>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</si>
  <si>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</si>
  <si>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</si>
  <si>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</si>
  <si>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</si>
  <si>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</si>
  <si>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</si>
  <si>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</si>
  <si>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</si>
  <si>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</si>
  <si>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</si>
  <si>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</si>
  <si>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</si>
  <si>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</si>
  <si>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</si>
  <si>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</si>
  <si>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</si>
  <si>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</si>
  <si>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</si>
  <si>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</si>
  <si>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</si>
  <si>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</si>
  <si>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</si>
  <si>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</si>
  <si>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</si>
  <si>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</si>
  <si>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</si>
  <si>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</si>
  <si>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</si>
  <si>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</si>
  <si>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</si>
  <si>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</si>
  <si>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</si>
  <si>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</si>
  <si>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</si>
  <si>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</si>
  <si>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</si>
  <si>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</si>
  <si>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</si>
  <si>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</si>
  <si>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</si>
  <si>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</si>
  <si>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</si>
  <si>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</si>
  <si>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</si>
  <si>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</si>
  <si>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</si>
  <si>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</si>
  <si>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</si>
  <si>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</si>
  <si>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</si>
  <si>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</si>
  <si>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</si>
  <si>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</si>
  <si>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</si>
  <si>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</si>
  <si>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</si>
  <si>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</si>
  <si>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</si>
  <si>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</si>
  <si>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</si>
  <si>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</si>
  <si>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</si>
  <si>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</si>
  <si>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</si>
  <si>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</si>
  <si>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</si>
  <si>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</si>
  <si>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</si>
  <si>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</si>
  <si>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</si>
  <si>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</si>
  <si>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</si>
  <si>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31111-0101  PRESIDENTE</t>
  </si>
  <si>
    <t>31111-0102  SINDICO</t>
  </si>
  <si>
    <t>31111-0103  REGIDORES</t>
  </si>
  <si>
    <t>31111-0201  DESPACHO DEL PRESIDENTE</t>
  </si>
  <si>
    <t>31111-0301  DESP SRIO PARTICULAR</t>
  </si>
  <si>
    <t>31111-0303  COMUNICACION SOCIAL</t>
  </si>
  <si>
    <t>31111-0401  DESP SRIO AYUNTAMNTO</t>
  </si>
  <si>
    <t>31111-0402  DIR REGTOS FISCALIZA</t>
  </si>
  <si>
    <t>31111-0403  DEPARTAMENTO JURIDICO</t>
  </si>
  <si>
    <t>31111-0404  RECLUTTO Y EXTRANJER</t>
  </si>
  <si>
    <t>31111-0405  UNID ACCESO A INFORM</t>
  </si>
  <si>
    <t>31111-0406  JUZGADO ADMISTTIVO</t>
  </si>
  <si>
    <t>31111-0407  ARCHIVO HISTORICO</t>
  </si>
  <si>
    <t>31111-0501  DESPACHO DEL TESORERO</t>
  </si>
  <si>
    <t>31111-0502  CONTABILIDAD</t>
  </si>
  <si>
    <t>31111-0503  CATASTRO Y PREDIAL</t>
  </si>
  <si>
    <t>31111-0504  CONTROL PATRIMONIAL</t>
  </si>
  <si>
    <t>31111-0505  DEPARTAMENTO DE INFO</t>
  </si>
  <si>
    <t>31111-0601  DESPACHO DEL CONTRALOR</t>
  </si>
  <si>
    <t>31111-0602  AUD GUB Y REVCTA PUB</t>
  </si>
  <si>
    <t>31111-0603  ASUNTOS JURI ADMTIVO</t>
  </si>
  <si>
    <t>31111-0604  EVAL Y CONTR DE OBRA</t>
  </si>
  <si>
    <t>31111-0701  DESP DIR OBRA PUBLCA</t>
  </si>
  <si>
    <t>31111-0702  PRESPTOS Y PROYECTOS</t>
  </si>
  <si>
    <t>31111-0703  CONTROL DE OBRA</t>
  </si>
  <si>
    <t>31111-0705  DEPARTAMENTO DE MATE</t>
  </si>
  <si>
    <t>31111-0706  AREA DE CONSTRUCCION</t>
  </si>
  <si>
    <t>31111-0801  DESP DIR SER PUBLCOS</t>
  </si>
  <si>
    <t>31111-0803  DEPARTAMENTO DE LIMPIA</t>
  </si>
  <si>
    <t>31111-0804  PARQUES Y JARDINES</t>
  </si>
  <si>
    <t>31111-0805  RASTRO MUNICIPAL</t>
  </si>
  <si>
    <t>31111-0806  MERCADO MUNICIPAL</t>
  </si>
  <si>
    <t>31111-0807  PANTEONES</t>
  </si>
  <si>
    <t>31111-0901  DESP DIR DES SOC RUR</t>
  </si>
  <si>
    <t>31111-0902  ENLACE MPAL PROSPERA</t>
  </si>
  <si>
    <t>31111-0903  DEPARTAMENTO DE SALUD</t>
  </si>
  <si>
    <t>31111-0904  COPLADEM</t>
  </si>
  <si>
    <t>31111-1001  DES DIR DES INT MUJE</t>
  </si>
  <si>
    <t>31111-1201  DESP DIR DES ECONMCO</t>
  </si>
  <si>
    <t>31111-1202  SERVOS EMPRESARIALES</t>
  </si>
  <si>
    <t>31111-1301  DES DIR DES URB ECOL</t>
  </si>
  <si>
    <t>31111-1401  DES DIR EDU CCO DEVO</t>
  </si>
  <si>
    <t>31111-1403  DEPARTAMENTO DE BIBL</t>
  </si>
  <si>
    <t>31111-1406  AUDITORIO</t>
  </si>
  <si>
    <t>31111-1501  DESP OFICIAL MAYOR</t>
  </si>
  <si>
    <t>31111-1503  ADQUISICIONES</t>
  </si>
  <si>
    <t>31111-1504  RECURSOS HUMANOS</t>
  </si>
  <si>
    <t>31111-1701  DIRECCIÓN COMISIÓN M</t>
  </si>
  <si>
    <t>31111-1703  DEPARTAMENTO DE UNID</t>
  </si>
  <si>
    <t>31111-1704  DEPARTAMENTO DE GIMN</t>
  </si>
  <si>
    <t>31111-1705  DEPARTAMENTO DE ATEN</t>
  </si>
  <si>
    <t>31111-1801  DIRECCIÓN DE TURISMO</t>
  </si>
  <si>
    <t>31111-1901  DIRECCIÓN DE ECOLOGÍA</t>
  </si>
  <si>
    <t>31111-2001  INSTITUTO MUNICIPAL</t>
  </si>
  <si>
    <t>31111-2101  INSTITUTO DE PLANEACIÓN</t>
  </si>
  <si>
    <t>31111-0802  ALUMBRADO PUBLICO</t>
  </si>
  <si>
    <t>31111-1101  DES DIR SEG PUB TRAN</t>
  </si>
  <si>
    <t>31111-2201  COMISARÍA DE  SEGURI</t>
  </si>
  <si>
    <t>31111-2202  COORDINACIÓN DE PROT</t>
  </si>
  <si>
    <t>31111-2203  COORDINACIÓN DE TRAN</t>
  </si>
  <si>
    <t>31111-2204  CARCEL MUNICIPAL</t>
  </si>
  <si>
    <t>31111-2205  COORDINACIÓN DE MOVI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</si>
  <si>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</si>
  <si>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</si>
  <si>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</si>
  <si>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</si>
  <si>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</si>
  <si>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</si>
  <si>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</si>
  <si>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</si>
  <si>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</si>
  <si>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</si>
  <si>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</si>
  <si>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</si>
  <si>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</si>
  <si>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</si>
  <si>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</si>
  <si>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</si>
  <si>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</si>
  <si>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</si>
  <si>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</si>
  <si>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</si>
  <si>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</si>
  <si>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</si>
  <si>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</si>
  <si>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</si>
  <si>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</si>
  <si>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</si>
  <si>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</si>
  <si>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</si>
  <si>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</si>
  <si>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</si>
  <si>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</si>
  <si>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</si>
  <si>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</si>
  <si>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</si>
  <si>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</si>
  <si>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</si>
  <si>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</si>
  <si>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</si>
  <si>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</si>
  <si>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</si>
  <si>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</si>
  <si>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</si>
  <si>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</si>
  <si>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</si>
  <si>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</si>
  <si>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</si>
  <si>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</si>
  <si>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</si>
  <si>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</si>
  <si>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</si>
  <si>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</si>
  <si>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</si>
  <si>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</si>
  <si>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</si>
  <si>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</si>
  <si>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</si>
  <si>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</si>
  <si>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</si>
  <si>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</si>
  <si>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</si>
  <si>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</si>
  <si>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</si>
  <si>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</si>
  <si>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</si>
  <si>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</si>
  <si>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</si>
  <si>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</si>
  <si>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</si>
  <si>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</si>
  <si>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</si>
  <si>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</si>
  <si>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</si>
  <si>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</si>
  <si>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</si>
  <si>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</si>
  <si>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</si>
  <si>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</si>
  <si>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</si>
  <si>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</si>
  <si>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</si>
  <si>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</si>
  <si>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</si>
  <si>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</si>
  <si>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</si>
  <si>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</si>
  <si>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</si>
  <si>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</si>
  <si>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</si>
  <si>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</si>
  <si>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</si>
  <si>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</si>
  <si>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</si>
  <si>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</si>
  <si>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</si>
  <si>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</si>
  <si>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</si>
  <si>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</si>
  <si>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</si>
  <si>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</si>
  <si>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</si>
  <si>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</si>
  <si>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</si>
  <si>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</si>
  <si>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</si>
  <si>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</si>
  <si>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Transferencias </t>
  </si>
  <si>
    <t>K.    Convenios</t>
  </si>
  <si>
    <t>L.     Otros Ingresos de Libre Disposición</t>
  </si>
  <si>
    <t>2.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</si>
  <si>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</si>
  <si>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</si>
  <si>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</si>
  <si>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</si>
  <si>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</si>
  <si>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</si>
  <si>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</si>
  <si>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</si>
  <si>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</si>
  <si>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</si>
  <si>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</si>
  <si>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</si>
  <si>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</si>
  <si>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</si>
  <si>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</si>
  <si>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</si>
  <si>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</si>
  <si>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</si>
  <si>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</si>
  <si>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</si>
  <si>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</si>
  <si>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</si>
  <si>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</si>
  <si>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</si>
  <si>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</si>
  <si>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</si>
  <si>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</si>
  <si>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</si>
  <si>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</si>
  <si>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</si>
  <si>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</si>
  <si>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</si>
  <si>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</si>
  <si>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</si>
  <si>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</si>
  <si>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</si>
  <si>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</si>
  <si>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</si>
  <si>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</si>
  <si>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</si>
  <si>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</si>
  <si>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</si>
  <si>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</si>
  <si>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</si>
  <si>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</si>
  <si>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</si>
  <si>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</si>
  <si>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</si>
  <si>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</si>
  <si>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</si>
  <si>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</si>
  <si>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</si>
  <si>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</si>
  <si>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</si>
  <si>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</si>
  <si>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</si>
  <si>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</si>
  <si>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</si>
  <si>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</si>
  <si>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</si>
  <si>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</si>
  <si>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</si>
  <si>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</si>
  <si>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</si>
  <si>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ESTADOS FINANCIEROS-DATOS GENERALES </t>
  </si>
  <si>
    <t xml:space="preserve">NOMBRE DEL ENTE PÚBLICO </t>
  </si>
  <si>
    <t xml:space="preserve">ENTIDAD FEDERATIVA </t>
  </si>
  <si>
    <t xml:space="preserve">MUNICIPIO </t>
  </si>
  <si>
    <t xml:space="preserve">AÑO DEL INFORME </t>
  </si>
  <si>
    <t xml:space="preserve">PERIODO DE INFORME </t>
  </si>
  <si>
    <t>Guanajuato</t>
  </si>
  <si>
    <t xml:space="preserve">valle de Santiago </t>
  </si>
  <si>
    <t>Primer Trimestre</t>
  </si>
  <si>
    <t>Municipio de Valle de Santiago</t>
  </si>
  <si>
    <t>Municipio de Valle de Santiago,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</si>
</sst>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.00_ ;\-#,##0.00\ "/>
    <numFmt numFmtId="165" formatCode="dd/mm/yyyy;@"/>
    <numFmt numFmtId="166" formatCode="\-#,##0.00;#,##0.00;&quot; &quot;"/>
    <numFmt numFmtId="167" formatCode="#,##0;\-#,##0;&quot; &quot;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}"/>
    </font>
    <font>
      <sz val="8"/>
      <color theme="1"/>
      <name val="Arial"/>
      <family val="2"/>
    </font>
    <font>
      <sz val="8"/>
      <name val="Arial"/>
      <family val="2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10" fillId="0" borderId="0"/>
  </cellStyleXfs>
  <cellXfs count="219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indent="3"/>
    </xf>
    <xf numFmtId="4" fontId="2" fillId="3" borderId="2" xfId="0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6"/>
    </xf>
    <xf numFmtId="4" fontId="0" fillId="3" borderId="2" xfId="0" applyNumberFormat="1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4" fontId="6" fillId="0" borderId="2" xfId="2" applyNumberFormat="1" applyFont="1" applyBorder="1" applyAlignment="1" applyProtection="1">
      <alignment vertical="center"/>
      <protection locked="0"/>
    </xf>
    <xf numFmtId="4" fontId="6" fillId="0" borderId="2" xfId="2" applyNumberFormat="1" applyFont="1" applyBorder="1" applyAlignment="1">
      <alignment vertical="center"/>
    </xf>
    <xf numFmtId="0" fontId="0" fillId="3" borderId="2" xfId="0" applyFill="1" applyBorder="1" applyAlignment="1">
      <alignment horizontal="left" vertical="center" indent="3"/>
    </xf>
    <xf numFmtId="0" fontId="0" fillId="3" borderId="2" xfId="0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 indent="3"/>
    </xf>
    <xf numFmtId="4" fontId="7" fillId="0" borderId="2" xfId="2" applyNumberFormat="1" applyFont="1" applyBorder="1" applyAlignment="1">
      <alignment vertical="center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2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0" fontId="0" fillId="0" borderId="3" xfId="0" applyBorder="1"/>
    <xf numFmtId="0" fontId="0" fillId="0" borderId="0" xfId="0" applyBorder="1"/>
    <xf numFmtId="0" fontId="0" fillId="0" borderId="0" xfId="0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left" vertical="center" indent="2"/>
    </xf>
    <xf numFmtId="0" fontId="0" fillId="0" borderId="0" xfId="0" applyFill="1"/>
    <xf numFmtId="0" fontId="2" fillId="0" borderId="2" xfId="0" applyFont="1" applyBorder="1" applyAlignment="1">
      <alignment horizontal="left" vertical="center" indent="2"/>
    </xf>
    <xf numFmtId="0" fontId="0" fillId="0" borderId="2" xfId="0" applyBorder="1" applyAlignment="1">
      <alignment vertical="center"/>
    </xf>
    <xf numFmtId="0" fontId="2" fillId="0" borderId="10" xfId="0" applyFont="1" applyBorder="1" applyAlignment="1">
      <alignment horizontal="left" vertical="center" indent="2"/>
    </xf>
    <xf numFmtId="0" fontId="2" fillId="0" borderId="2" xfId="0" applyFont="1" applyFill="1" applyBorder="1" applyAlignment="1">
      <alignment horizontal="left" vertical="center" indent="2"/>
    </xf>
    <xf numFmtId="0" fontId="0" fillId="0" borderId="2" xfId="0" applyFill="1" applyBorder="1" applyAlignment="1">
      <alignment vertical="center"/>
    </xf>
    <xf numFmtId="0" fontId="2" fillId="0" borderId="10" xfId="0" applyFont="1" applyFill="1" applyBorder="1" applyAlignment="1">
      <alignment horizontal="left" vertical="center" indent="2"/>
    </xf>
    <xf numFmtId="0" fontId="0" fillId="0" borderId="2" xfId="0" applyFill="1" applyBorder="1" applyAlignment="1">
      <alignment horizontal="left" vertical="center" indent="3"/>
    </xf>
    <xf numFmtId="4" fontId="0" fillId="0" borderId="2" xfId="0" applyNumberFormat="1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horizontal="left" vertical="center" indent="3"/>
    </xf>
    <xf numFmtId="0" fontId="0" fillId="0" borderId="2" xfId="0" applyFont="1" applyFill="1" applyBorder="1" applyAlignment="1">
      <alignment horizontal="left" vertical="center" indent="5"/>
    </xf>
    <xf numFmtId="4" fontId="7" fillId="0" borderId="2" xfId="2" applyNumberFormat="1" applyFont="1" applyBorder="1" applyAlignment="1" applyProtection="1">
      <alignment vertical="center"/>
      <protection locked="0"/>
    </xf>
    <xf numFmtId="0" fontId="0" fillId="0" borderId="10" xfId="0" applyFill="1" applyBorder="1" applyAlignment="1">
      <alignment horizontal="left" vertical="center" indent="5"/>
    </xf>
    <xf numFmtId="0" fontId="0" fillId="0" borderId="2" xfId="0" applyFill="1" applyBorder="1" applyAlignment="1">
      <alignment horizontal="left" vertical="center" indent="5"/>
    </xf>
    <xf numFmtId="164" fontId="0" fillId="0" borderId="2" xfId="0" applyNumberFormat="1" applyFill="1" applyBorder="1" applyAlignment="1" applyProtection="1">
      <alignment vertical="center"/>
      <protection locked="0"/>
    </xf>
    <xf numFmtId="164" fontId="8" fillId="0" borderId="2" xfId="3" applyNumberFormat="1" applyFont="1" applyBorder="1" applyAlignment="1" applyProtection="1">
      <alignment vertical="top" wrapText="1"/>
      <protection locked="0"/>
    </xf>
    <xf numFmtId="0" fontId="2" fillId="0" borderId="2" xfId="0" applyFont="1" applyFill="1" applyBorder="1" applyAlignment="1">
      <alignment horizontal="left" vertical="center" indent="3"/>
    </xf>
    <xf numFmtId="4" fontId="2" fillId="0" borderId="2" xfId="0" applyNumberFormat="1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horizontal="left" indent="3"/>
    </xf>
    <xf numFmtId="0" fontId="2" fillId="0" borderId="10" xfId="0" applyFont="1" applyFill="1" applyBorder="1" applyAlignment="1">
      <alignment horizontal="left" indent="2"/>
    </xf>
    <xf numFmtId="0" fontId="0" fillId="0" borderId="2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left" vertical="center" indent="2"/>
    </xf>
    <xf numFmtId="4" fontId="0" fillId="0" borderId="2" xfId="0" applyNumberFormat="1" applyFont="1" applyFill="1" applyBorder="1" applyAlignment="1" applyProtection="1">
      <alignment vertical="center"/>
      <protection locked="0"/>
    </xf>
    <xf numFmtId="0" fontId="0" fillId="0" borderId="10" xfId="0" applyFont="1" applyFill="1" applyBorder="1" applyAlignment="1">
      <alignment horizontal="left" vertical="center" indent="3"/>
    </xf>
    <xf numFmtId="0" fontId="0" fillId="0" borderId="10" xfId="0" applyFont="1" applyFill="1" applyBorder="1" applyAlignment="1">
      <alignment horizontal="left" indent="3"/>
    </xf>
    <xf numFmtId="0" fontId="0" fillId="0" borderId="2" xfId="0" applyFill="1" applyBorder="1"/>
    <xf numFmtId="0" fontId="0" fillId="0" borderId="0" xfId="0" applyAlignment="1">
      <alignment horizontal="left" indent="2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2" fillId="0" borderId="9" xfId="0" applyFont="1" applyFill="1" applyBorder="1" applyAlignment="1">
      <alignment horizontal="left" vertical="center" indent="3"/>
    </xf>
    <xf numFmtId="0" fontId="0" fillId="0" borderId="9" xfId="0" applyFill="1" applyBorder="1" applyAlignment="1">
      <alignment horizontal="left" vertical="center" indent="5"/>
    </xf>
    <xf numFmtId="0" fontId="0" fillId="0" borderId="9" xfId="0" applyFill="1" applyBorder="1" applyAlignment="1">
      <alignment horizontal="left" vertical="center" indent="7"/>
    </xf>
    <xf numFmtId="4" fontId="8" fillId="0" borderId="2" xfId="4" applyNumberFormat="1" applyFont="1" applyFill="1" applyBorder="1" applyAlignment="1" applyProtection="1">
      <alignment vertical="top" wrapText="1"/>
      <protection locked="0"/>
    </xf>
    <xf numFmtId="4" fontId="11" fillId="0" borderId="2" xfId="4" applyNumberFormat="1" applyFont="1" applyFill="1" applyBorder="1" applyAlignment="1" applyProtection="1">
      <alignment vertical="top" wrapText="1"/>
      <protection locked="0"/>
    </xf>
    <xf numFmtId="0" fontId="0" fillId="2" borderId="15" xfId="0" applyFill="1" applyBorder="1"/>
    <xf numFmtId="0" fontId="0" fillId="0" borderId="2" xfId="0" applyBorder="1"/>
    <xf numFmtId="0" fontId="0" fillId="0" borderId="9" xfId="0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0" fillId="0" borderId="3" xfId="0" applyFill="1" applyBorder="1"/>
    <xf numFmtId="0" fontId="3" fillId="0" borderId="3" xfId="0" applyFont="1" applyBorder="1"/>
    <xf numFmtId="0" fontId="4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0" fillId="0" borderId="2" xfId="0" applyBorder="1" applyAlignment="1">
      <alignment horizontal="left" indent="3"/>
    </xf>
    <xf numFmtId="0" fontId="0" fillId="2" borderId="15" xfId="0" applyFill="1" applyBorder="1" applyAlignment="1">
      <alignment vertical="center"/>
    </xf>
    <xf numFmtId="0" fontId="0" fillId="0" borderId="2" xfId="0" applyFill="1" applyBorder="1" applyAlignment="1" applyProtection="1">
      <alignment horizontal="left" vertical="center" indent="4"/>
      <protection locked="0"/>
    </xf>
    <xf numFmtId="165" fontId="0" fillId="0" borderId="2" xfId="0" applyNumberFormat="1" applyFill="1" applyBorder="1" applyAlignment="1" applyProtection="1">
      <alignment vertical="center"/>
      <protection locked="0"/>
    </xf>
    <xf numFmtId="4" fontId="7" fillId="0" borderId="2" xfId="2" applyNumberFormat="1" applyFont="1" applyBorder="1" applyProtection="1">
      <protection locked="0"/>
    </xf>
    <xf numFmtId="0" fontId="3" fillId="0" borderId="2" xfId="0" applyFont="1" applyFill="1" applyBorder="1" applyAlignment="1">
      <alignment horizontal="left" vertical="center"/>
    </xf>
    <xf numFmtId="16" fontId="0" fillId="0" borderId="2" xfId="0" applyNumberForma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 wrapText="1" indent="3"/>
    </xf>
    <xf numFmtId="4" fontId="2" fillId="0" borderId="2" xfId="0" applyNumberFormat="1" applyFont="1" applyFill="1" applyBorder="1" applyProtection="1">
      <protection locked="0"/>
    </xf>
    <xf numFmtId="0" fontId="0" fillId="0" borderId="2" xfId="0" applyFill="1" applyBorder="1" applyAlignment="1">
      <alignment horizontal="left" vertical="center" indent="6"/>
    </xf>
    <xf numFmtId="4" fontId="0" fillId="0" borderId="2" xfId="0" applyNumberFormat="1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16" fillId="2" borderId="15" xfId="0" applyFont="1" applyFill="1" applyBorder="1" applyAlignment="1"/>
    <xf numFmtId="0" fontId="17" fillId="2" borderId="15" xfId="0" applyFont="1" applyFill="1" applyBorder="1" applyAlignment="1"/>
    <xf numFmtId="0" fontId="2" fillId="0" borderId="2" xfId="0" applyFont="1" applyFill="1" applyBorder="1"/>
    <xf numFmtId="0" fontId="2" fillId="0" borderId="2" xfId="0" applyFont="1" applyFill="1" applyBorder="1" applyAlignment="1">
      <alignment horizontal="left" vertical="center" wrapText="1" indent="3"/>
    </xf>
    <xf numFmtId="0" fontId="2" fillId="0" borderId="3" xfId="0" applyFont="1" applyFill="1" applyBorder="1" applyAlignment="1">
      <alignment horizontal="left" vertical="center" wrapText="1" indent="3"/>
    </xf>
    <xf numFmtId="0" fontId="2" fillId="0" borderId="3" xfId="0" applyFont="1" applyFill="1" applyBorder="1" applyAlignment="1">
      <alignment horizontal="left" vertical="center" indent="3"/>
    </xf>
    <xf numFmtId="0" fontId="0" fillId="0" borderId="1" xfId="0" applyFill="1" applyBorder="1" applyAlignment="1">
      <alignment horizontal="left" vertical="center" indent="6"/>
    </xf>
    <xf numFmtId="4" fontId="0" fillId="0" borderId="1" xfId="0" applyNumberForma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>
      <alignment horizontal="left" vertical="center" wrapText="1" indent="9"/>
    </xf>
    <xf numFmtId="0" fontId="0" fillId="0" borderId="2" xfId="0" applyFill="1" applyBorder="1" applyAlignment="1">
      <alignment horizontal="left" vertical="center" indent="12"/>
    </xf>
    <xf numFmtId="0" fontId="17" fillId="2" borderId="15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4" fontId="0" fillId="0" borderId="1" xfId="0" applyNumberFormat="1" applyFill="1" applyBorder="1" applyProtection="1">
      <protection locked="0"/>
    </xf>
    <xf numFmtId="0" fontId="17" fillId="2" borderId="15" xfId="0" applyFont="1" applyFill="1" applyBorder="1"/>
    <xf numFmtId="0" fontId="2" fillId="2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indent="3"/>
    </xf>
    <xf numFmtId="0" fontId="18" fillId="0" borderId="0" xfId="0" applyFont="1"/>
    <xf numFmtId="0" fontId="0" fillId="0" borderId="2" xfId="0" applyFill="1" applyBorder="1" applyAlignment="1">
      <alignment horizontal="left" indent="6"/>
    </xf>
    <xf numFmtId="0" fontId="0" fillId="0" borderId="2" xfId="0" applyFill="1" applyBorder="1" applyAlignment="1">
      <alignment horizontal="left" vertical="center" indent="9"/>
    </xf>
    <xf numFmtId="4" fontId="19" fillId="0" borderId="2" xfId="0" applyNumberFormat="1" applyFont="1" applyFill="1" applyBorder="1" applyProtection="1">
      <protection locked="0"/>
    </xf>
    <xf numFmtId="166" fontId="0" fillId="0" borderId="2" xfId="0" applyNumberFormat="1" applyFill="1" applyBorder="1" applyAlignment="1" applyProtection="1">
      <alignment vertical="center"/>
      <protection locked="0"/>
    </xf>
    <xf numFmtId="167" fontId="0" fillId="0" borderId="2" xfId="0" applyNumberFormat="1" applyFill="1" applyBorder="1" applyAlignment="1" applyProtection="1">
      <alignment vertical="center"/>
      <protection locked="0"/>
    </xf>
    <xf numFmtId="166" fontId="19" fillId="0" borderId="2" xfId="0" applyNumberFormat="1" applyFont="1" applyFill="1" applyBorder="1" applyProtection="1">
      <protection locked="0"/>
    </xf>
    <xf numFmtId="167" fontId="19" fillId="0" borderId="2" xfId="0" applyNumberFormat="1" applyFont="1" applyFill="1" applyBorder="1" applyProtection="1">
      <protection locked="0"/>
    </xf>
    <xf numFmtId="0" fontId="0" fillId="0" borderId="2" xfId="0" applyFill="1" applyBorder="1" applyAlignment="1">
      <alignment horizontal="left" vertical="center" wrapText="1" indent="9"/>
    </xf>
    <xf numFmtId="0" fontId="0" fillId="0" borderId="2" xfId="0" applyFill="1" applyBorder="1" applyAlignment="1">
      <alignment horizontal="left" wrapText="1" indent="9"/>
    </xf>
    <xf numFmtId="0" fontId="0" fillId="0" borderId="2" xfId="0" applyFill="1" applyBorder="1" applyAlignment="1">
      <alignment horizontal="left" vertical="center" wrapText="1" indent="3"/>
    </xf>
    <xf numFmtId="0" fontId="0" fillId="0" borderId="3" xfId="0" applyFont="1" applyBorder="1" applyAlignment="1">
      <alignment vertical="center"/>
    </xf>
    <xf numFmtId="0" fontId="0" fillId="0" borderId="0" xfId="0" applyFill="1" applyBorder="1"/>
    <xf numFmtId="49" fontId="0" fillId="0" borderId="2" xfId="0" applyNumberFormat="1" applyFill="1" applyBorder="1" applyAlignment="1">
      <alignment horizontal="left"/>
    </xf>
    <xf numFmtId="4" fontId="0" fillId="0" borderId="2" xfId="0" applyNumberFormat="1" applyFill="1" applyBorder="1"/>
    <xf numFmtId="4" fontId="0" fillId="0" borderId="2" xfId="1" applyNumberFormat="1" applyFont="1" applyFill="1" applyBorder="1" applyAlignment="1" applyProtection="1">
      <alignment vertical="center"/>
      <protection locked="0"/>
    </xf>
    <xf numFmtId="4" fontId="2" fillId="0" borderId="1" xfId="1" applyNumberFormat="1" applyFont="1" applyFill="1" applyBorder="1" applyAlignment="1" applyProtection="1">
      <alignment vertical="center"/>
      <protection locked="0"/>
    </xf>
    <xf numFmtId="4" fontId="0" fillId="3" borderId="2" xfId="0" applyNumberFormat="1" applyFill="1" applyBorder="1" applyAlignment="1">
      <alignment vertical="center"/>
    </xf>
    <xf numFmtId="4" fontId="0" fillId="0" borderId="3" xfId="0" applyNumberFormat="1" applyBorder="1"/>
    <xf numFmtId="4" fontId="0" fillId="0" borderId="0" xfId="0" applyNumberFormat="1"/>
    <xf numFmtId="0" fontId="2" fillId="2" borderId="13" xfId="0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 applyProtection="1">
      <alignment vertical="center"/>
      <protection locked="0"/>
    </xf>
    <xf numFmtId="4" fontId="0" fillId="0" borderId="10" xfId="0" applyNumberFormat="1" applyFont="1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horizontal="left" vertical="center" wrapText="1" indent="6"/>
    </xf>
    <xf numFmtId="0" fontId="0" fillId="0" borderId="10" xfId="0" applyFill="1" applyBorder="1" applyAlignment="1" applyProtection="1">
      <alignment vertical="center"/>
      <protection locked="0"/>
    </xf>
    <xf numFmtId="4" fontId="2" fillId="0" borderId="10" xfId="0" applyNumberFormat="1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 applyProtection="1">
      <alignment vertical="center"/>
      <protection locked="0"/>
    </xf>
    <xf numFmtId="4" fontId="0" fillId="0" borderId="10" xfId="0" applyNumberFormat="1" applyFill="1" applyBorder="1" applyAlignment="1" applyProtection="1">
      <alignment vertical="center"/>
      <protection locked="0"/>
    </xf>
    <xf numFmtId="4" fontId="0" fillId="0" borderId="10" xfId="0" applyNumberFormat="1" applyFont="1" applyFill="1" applyBorder="1" applyAlignment="1" applyProtection="1">
      <alignment vertical="center" wrapText="1"/>
      <protection locked="0"/>
    </xf>
    <xf numFmtId="0" fontId="0" fillId="0" borderId="10" xfId="0" applyFill="1" applyBorder="1" applyAlignment="1">
      <alignment vertical="center"/>
    </xf>
    <xf numFmtId="0" fontId="0" fillId="0" borderId="12" xfId="0" applyFill="1" applyBorder="1"/>
    <xf numFmtId="0" fontId="2" fillId="2" borderId="14" xfId="0" applyFont="1" applyFill="1" applyBorder="1" applyAlignment="1">
      <alignment horizontal="center" vertical="center" wrapText="1"/>
    </xf>
    <xf numFmtId="4" fontId="2" fillId="0" borderId="10" xfId="0" applyNumberFormat="1" applyFont="1" applyFill="1" applyBorder="1" applyAlignment="1" applyProtection="1">
      <alignment horizontal="right" vertical="center"/>
      <protection locked="0"/>
    </xf>
    <xf numFmtId="4" fontId="7" fillId="0" borderId="2" xfId="1" applyNumberFormat="1" applyFont="1" applyBorder="1" applyAlignment="1" applyProtection="1">
      <alignment vertical="center"/>
      <protection locked="0"/>
    </xf>
    <xf numFmtId="0" fontId="0" fillId="0" borderId="10" xfId="0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 indent="3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vertical="center"/>
      <protection locked="0"/>
    </xf>
    <xf numFmtId="4" fontId="20" fillId="0" borderId="2" xfId="1" applyNumberFormat="1" applyFont="1" applyFill="1" applyBorder="1" applyAlignment="1" applyProtection="1">
      <alignment horizontal="right" vertical="center"/>
      <protection locked="0"/>
    </xf>
    <xf numFmtId="4" fontId="20" fillId="0" borderId="0" xfId="1" applyNumberFormat="1" applyFont="1" applyFill="1" applyBorder="1" applyAlignment="1" applyProtection="1">
      <alignment horizontal="right" vertical="center"/>
      <protection locked="0"/>
    </xf>
    <xf numFmtId="0" fontId="0" fillId="0" borderId="2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2" xfId="0" applyFont="1" applyFill="1" applyBorder="1" applyAlignment="1">
      <alignment horizontal="left" vertical="center" indent="6"/>
    </xf>
    <xf numFmtId="0" fontId="0" fillId="0" borderId="2" xfId="0" applyFont="1" applyFill="1" applyBorder="1" applyAlignment="1">
      <alignment horizontal="left" vertical="center" wrapText="1" indent="3"/>
    </xf>
    <xf numFmtId="0" fontId="0" fillId="0" borderId="2" xfId="0" applyFill="1" applyBorder="1" applyAlignment="1"/>
    <xf numFmtId="4" fontId="20" fillId="0" borderId="2" xfId="0" applyNumberFormat="1" applyFont="1" applyFill="1" applyBorder="1" applyProtection="1">
      <protection locked="0"/>
    </xf>
    <xf numFmtId="4" fontId="20" fillId="0" borderId="0" xfId="0" applyNumberFormat="1" applyFont="1" applyFill="1" applyBorder="1" applyProtection="1">
      <protection locked="0"/>
    </xf>
    <xf numFmtId="4" fontId="20" fillId="0" borderId="2" xfId="0" applyNumberFormat="1" applyFont="1" applyBorder="1" applyProtection="1">
      <protection locked="0"/>
    </xf>
    <xf numFmtId="4" fontId="20" fillId="0" borderId="0" xfId="0" applyNumberFormat="1" applyFont="1" applyBorder="1" applyProtection="1"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4" fontId="0" fillId="0" borderId="2" xfId="0" applyNumberFormat="1" applyBorder="1" applyProtection="1">
      <protection locked="0"/>
    </xf>
    <xf numFmtId="4" fontId="0" fillId="0" borderId="0" xfId="0" applyNumberFormat="1" applyProtection="1">
      <protection locked="0"/>
    </xf>
    <xf numFmtId="4" fontId="0" fillId="0" borderId="0" xfId="1" applyNumberFormat="1" applyFont="1" applyProtection="1">
      <protection locked="0"/>
    </xf>
    <xf numFmtId="4" fontId="0" fillId="0" borderId="0" xfId="0" applyNumberFormat="1" applyFill="1" applyProtection="1">
      <protection locked="0"/>
    </xf>
    <xf numFmtId="4" fontId="20" fillId="0" borderId="2" xfId="1" applyNumberFormat="1" applyFont="1" applyFill="1" applyBorder="1" applyAlignment="1" applyProtection="1">
      <alignment vertical="center"/>
      <protection locked="0"/>
    </xf>
    <xf numFmtId="4" fontId="20" fillId="0" borderId="0" xfId="1" applyNumberFormat="1" applyFont="1" applyFill="1" applyBorder="1" applyAlignment="1" applyProtection="1">
      <alignment vertical="center"/>
      <protection locked="0"/>
    </xf>
    <xf numFmtId="4" fontId="0" fillId="3" borderId="2" xfId="0" applyNumberFormat="1" applyFont="1" applyFill="1" applyBorder="1" applyAlignment="1" applyProtection="1">
      <alignment vertical="center"/>
      <protection locked="0"/>
    </xf>
    <xf numFmtId="4" fontId="20" fillId="0" borderId="0" xfId="0" applyNumberFormat="1" applyFont="1" applyFill="1" applyBorder="1" applyAlignment="1" applyProtection="1">
      <alignment vertical="center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3"/>
    </xf>
    <xf numFmtId="0" fontId="0" fillId="0" borderId="2" xfId="0" applyBorder="1" applyAlignment="1">
      <alignment horizontal="left" vertical="center" wrapText="1" indent="6"/>
    </xf>
    <xf numFmtId="0" fontId="0" fillId="0" borderId="2" xfId="0" applyBorder="1" applyAlignment="1">
      <alignment horizontal="left" vertical="center" wrapText="1" indent="3"/>
    </xf>
    <xf numFmtId="0" fontId="0" fillId="0" borderId="2" xfId="0" applyBorder="1" applyAlignment="1">
      <alignment horizontal="left" vertical="center" wrapText="1" indent="9"/>
    </xf>
    <xf numFmtId="3" fontId="0" fillId="0" borderId="2" xfId="0" applyNumberFormat="1" applyFill="1" applyBorder="1" applyAlignment="1" applyProtection="1">
      <alignment vertical="center"/>
      <protection locked="0"/>
    </xf>
    <xf numFmtId="10" fontId="0" fillId="0" borderId="2" xfId="0" applyNumberFormat="1" applyFill="1" applyBorder="1" applyAlignment="1" applyProtection="1">
      <alignment vertical="center"/>
      <protection locked="0"/>
    </xf>
    <xf numFmtId="9" fontId="0" fillId="0" borderId="2" xfId="0" applyNumberFormat="1" applyFill="1" applyBorder="1" applyAlignment="1" applyProtection="1">
      <alignment vertical="center"/>
      <protection locked="0"/>
    </xf>
    <xf numFmtId="0" fontId="0" fillId="0" borderId="3" xfId="0" applyBorder="1" applyAlignment="1">
      <alignment horizontal="left" vertical="center" wrapText="1" indent="3"/>
    </xf>
    <xf numFmtId="2" fontId="2" fillId="0" borderId="2" xfId="1" applyNumberFormat="1" applyFont="1" applyFill="1" applyBorder="1" applyAlignment="1" applyProtection="1">
      <alignment vertical="center"/>
      <protection locked="0"/>
    </xf>
    <xf numFmtId="2" fontId="2" fillId="0" borderId="2" xfId="0" applyNumberFormat="1" applyFont="1" applyFill="1" applyBorder="1" applyAlignment="1" applyProtection="1">
      <alignment vertical="center"/>
      <protection locked="0"/>
    </xf>
    <xf numFmtId="2" fontId="0" fillId="0" borderId="2" xfId="0" applyNumberFormat="1" applyFill="1" applyBorder="1" applyAlignment="1">
      <alignment vertical="center"/>
    </xf>
    <xf numFmtId="0" fontId="0" fillId="0" borderId="4" xfId="0" applyBorder="1"/>
    <xf numFmtId="0" fontId="0" fillId="0" borderId="4" xfId="0" applyBorder="1" applyAlignment="1">
      <alignment horizontal="left"/>
    </xf>
    <xf numFmtId="0" fontId="23" fillId="0" borderId="0" xfId="0" applyFont="1" applyFill="1" applyAlignment="1"/>
    <xf numFmtId="0" fontId="23" fillId="4" borderId="0" xfId="0" applyFont="1" applyFill="1" applyAlignment="1">
      <alignment horizontal="center" wrapText="1"/>
    </xf>
    <xf numFmtId="0" fontId="4" fillId="0" borderId="5" xfId="0" applyFont="1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justify" vertical="center" wrapText="1"/>
    </xf>
    <xf numFmtId="0" fontId="9" fillId="0" borderId="5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left" vertical="center"/>
    </xf>
    <xf numFmtId="0" fontId="21" fillId="0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</cellXfs>
  <cellStyles count="5">
    <cellStyle name="Millares" xfId="1" builtinId="3"/>
    <cellStyle name="Millares 2 4" xfId="3"/>
    <cellStyle name="Normal" xfId="0" builtinId="0"/>
    <cellStyle name="Normal 2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/Downloads/Formatos_Anexo_1_Criterios_LDF%20(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4">
          <cell r="C14" t="str">
            <v>Al 31 de diciembre de 2017 y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C11" sqref="C11"/>
    </sheetView>
  </sheetViews>
  <sheetFormatPr baseColWidth="10" defaultRowHeight="15"/>
  <cols>
    <col min="1" max="1" width="2.85546875" customWidth="1"/>
    <col min="2" max="2" width="34.42578125" customWidth="1"/>
    <col min="3" max="3" width="40.140625" bestFit="1" customWidth="1"/>
    <col min="4" max="4" width="3.140625" customWidth="1"/>
  </cols>
  <sheetData>
    <row r="1" spans="1:6" ht="39" customHeight="1">
      <c r="A1" s="177" t="s">
        <v>619</v>
      </c>
      <c r="B1" s="177"/>
      <c r="C1" s="177"/>
      <c r="D1" s="177"/>
      <c r="E1" s="177"/>
      <c r="F1" s="176"/>
    </row>
    <row r="3" spans="1:6">
      <c r="B3" s="174" t="s">
        <v>620</v>
      </c>
      <c r="C3" s="174" t="s">
        <v>629</v>
      </c>
    </row>
    <row r="5" spans="1:6">
      <c r="B5" s="174" t="s">
        <v>621</v>
      </c>
      <c r="C5" s="174" t="s">
        <v>625</v>
      </c>
    </row>
    <row r="7" spans="1:6">
      <c r="B7" s="174" t="s">
        <v>622</v>
      </c>
      <c r="C7" s="174" t="s">
        <v>626</v>
      </c>
    </row>
    <row r="9" spans="1:6">
      <c r="B9" s="174" t="s">
        <v>623</v>
      </c>
      <c r="C9" s="175">
        <v>2018</v>
      </c>
    </row>
    <row r="11" spans="1:6">
      <c r="B11" s="174" t="s">
        <v>624</v>
      </c>
      <c r="C11" s="174" t="s">
        <v>627</v>
      </c>
    </row>
  </sheetData>
  <mergeCells count="1">
    <mergeCell ref="A1:E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A5" sqref="A5:G5"/>
    </sheetView>
  </sheetViews>
  <sheetFormatPr baseColWidth="10" defaultColWidth="0" defaultRowHeight="15" zeroHeight="1"/>
  <cols>
    <col min="1" max="1" width="111.85546875" customWidth="1"/>
    <col min="2" max="6" width="20.7109375" style="138" customWidth="1"/>
    <col min="7" max="7" width="17.5703125" style="138" customWidth="1"/>
    <col min="8" max="16384" width="10.85546875" hidden="1"/>
  </cols>
  <sheetData>
    <row r="1" spans="1:7" ht="21">
      <c r="A1" s="200" t="s">
        <v>487</v>
      </c>
      <c r="B1" s="196"/>
      <c r="C1" s="196"/>
      <c r="D1" s="196"/>
      <c r="E1" s="196"/>
      <c r="F1" s="196"/>
      <c r="G1" s="196"/>
    </row>
    <row r="2" spans="1:7">
      <c r="A2" s="179" t="s">
        <v>629</v>
      </c>
      <c r="B2" s="180"/>
      <c r="C2" s="180"/>
      <c r="D2" s="180"/>
      <c r="E2" s="180"/>
      <c r="F2" s="180"/>
      <c r="G2" s="181"/>
    </row>
    <row r="3" spans="1:7">
      <c r="A3" s="185" t="s">
        <v>1</v>
      </c>
      <c r="B3" s="186"/>
      <c r="C3" s="186"/>
      <c r="D3" s="186"/>
      <c r="E3" s="186"/>
      <c r="F3" s="186"/>
      <c r="G3" s="187"/>
    </row>
    <row r="4" spans="1:7">
      <c r="A4" s="185" t="s">
        <v>488</v>
      </c>
      <c r="B4" s="186"/>
      <c r="C4" s="186"/>
      <c r="D4" s="186"/>
      <c r="E4" s="186"/>
      <c r="F4" s="186"/>
      <c r="G4" s="187"/>
    </row>
    <row r="5" spans="1:7">
      <c r="A5" s="185" t="s">
        <v>627</v>
      </c>
      <c r="B5" s="186"/>
      <c r="C5" s="186"/>
      <c r="D5" s="186"/>
      <c r="E5" s="186"/>
      <c r="F5" s="186"/>
      <c r="G5" s="187"/>
    </row>
    <row r="6" spans="1:7">
      <c r="A6" s="188" t="s">
        <v>3</v>
      </c>
      <c r="B6" s="189"/>
      <c r="C6" s="189"/>
      <c r="D6" s="189"/>
      <c r="E6" s="189"/>
      <c r="F6" s="189"/>
      <c r="G6" s="190"/>
    </row>
    <row r="7" spans="1:7">
      <c r="A7" s="193" t="s">
        <v>489</v>
      </c>
      <c r="B7" s="197" t="s">
        <v>5</v>
      </c>
      <c r="C7" s="197"/>
      <c r="D7" s="197"/>
      <c r="E7" s="197"/>
      <c r="F7" s="197"/>
      <c r="G7" s="197" t="s">
        <v>6</v>
      </c>
    </row>
    <row r="8" spans="1:7" ht="30">
      <c r="A8" s="194"/>
      <c r="B8" s="1" t="s">
        <v>7</v>
      </c>
      <c r="C8" s="132" t="s">
        <v>450</v>
      </c>
      <c r="D8" s="132" t="s">
        <v>316</v>
      </c>
      <c r="E8" s="132" t="s">
        <v>10</v>
      </c>
      <c r="F8" s="132" t="s">
        <v>288</v>
      </c>
      <c r="G8" s="207"/>
    </row>
    <row r="9" spans="1:7">
      <c r="A9" s="100" t="s">
        <v>490</v>
      </c>
      <c r="B9" s="133">
        <f t="shared" ref="B9:G9" si="0">SUM(B10,B11,B12,B15,B16,B19)</f>
        <v>99269623.769999996</v>
      </c>
      <c r="C9" s="133">
        <f t="shared" si="0"/>
        <v>891104.93</v>
      </c>
      <c r="D9" s="133">
        <f t="shared" si="0"/>
        <v>100160728.7</v>
      </c>
      <c r="E9" s="133">
        <f t="shared" si="0"/>
        <v>19203804.59</v>
      </c>
      <c r="F9" s="133">
        <f t="shared" si="0"/>
        <v>18936255.870000001</v>
      </c>
      <c r="G9" s="133">
        <f t="shared" si="0"/>
        <v>80956924.109999999</v>
      </c>
    </row>
    <row r="10" spans="1:7">
      <c r="A10" s="82" t="s">
        <v>491</v>
      </c>
      <c r="B10" s="37">
        <v>99269623.769999996</v>
      </c>
      <c r="C10" s="37">
        <v>891104.93</v>
      </c>
      <c r="D10" s="37">
        <v>100160728.7</v>
      </c>
      <c r="E10" s="37">
        <v>19203804.59</v>
      </c>
      <c r="F10" s="37">
        <v>18936255.870000001</v>
      </c>
      <c r="G10" s="37">
        <v>80956924.109999999</v>
      </c>
    </row>
    <row r="11" spans="1:7">
      <c r="A11" s="82" t="s">
        <v>492</v>
      </c>
      <c r="B11" s="134">
        <v>0</v>
      </c>
      <c r="C11" s="134">
        <v>0</v>
      </c>
      <c r="D11" s="134">
        <v>0</v>
      </c>
      <c r="E11" s="134">
        <v>0</v>
      </c>
      <c r="F11" s="134">
        <v>0</v>
      </c>
      <c r="G11" s="134">
        <v>0</v>
      </c>
    </row>
    <row r="12" spans="1:7">
      <c r="A12" s="82" t="s">
        <v>493</v>
      </c>
      <c r="B12" s="134">
        <v>0</v>
      </c>
      <c r="C12" s="134">
        <v>0</v>
      </c>
      <c r="D12" s="134">
        <v>0</v>
      </c>
      <c r="E12" s="134">
        <v>0</v>
      </c>
      <c r="F12" s="134">
        <v>0</v>
      </c>
      <c r="G12" s="134">
        <v>0</v>
      </c>
    </row>
    <row r="13" spans="1:7">
      <c r="A13" s="103" t="s">
        <v>494</v>
      </c>
      <c r="B13" s="134">
        <v>0</v>
      </c>
      <c r="C13" s="134">
        <v>0</v>
      </c>
      <c r="D13" s="134">
        <v>0</v>
      </c>
      <c r="E13" s="134">
        <v>0</v>
      </c>
      <c r="F13" s="134">
        <v>0</v>
      </c>
      <c r="G13" s="134">
        <v>0</v>
      </c>
    </row>
    <row r="14" spans="1:7">
      <c r="A14" s="103" t="s">
        <v>495</v>
      </c>
      <c r="B14" s="134">
        <v>0</v>
      </c>
      <c r="C14" s="134">
        <v>0</v>
      </c>
      <c r="D14" s="134">
        <v>0</v>
      </c>
      <c r="E14" s="134">
        <v>0</v>
      </c>
      <c r="F14" s="134">
        <v>0</v>
      </c>
      <c r="G14" s="134">
        <v>0</v>
      </c>
    </row>
    <row r="15" spans="1:7">
      <c r="A15" s="82" t="s">
        <v>496</v>
      </c>
      <c r="B15" s="134">
        <v>0</v>
      </c>
      <c r="C15" s="134">
        <v>0</v>
      </c>
      <c r="D15" s="134">
        <v>0</v>
      </c>
      <c r="E15" s="134">
        <v>0</v>
      </c>
      <c r="F15" s="134">
        <v>0</v>
      </c>
      <c r="G15" s="134">
        <v>0</v>
      </c>
    </row>
    <row r="16" spans="1:7">
      <c r="A16" s="124" t="s">
        <v>497</v>
      </c>
      <c r="B16" s="134">
        <v>0</v>
      </c>
      <c r="C16" s="134">
        <v>0</v>
      </c>
      <c r="D16" s="134">
        <v>0</v>
      </c>
      <c r="E16" s="134">
        <v>0</v>
      </c>
      <c r="F16" s="134">
        <v>0</v>
      </c>
      <c r="G16" s="134">
        <v>0</v>
      </c>
    </row>
    <row r="17" spans="1:7">
      <c r="A17" s="103" t="s">
        <v>498</v>
      </c>
      <c r="B17" s="134">
        <v>0</v>
      </c>
      <c r="C17" s="134">
        <v>0</v>
      </c>
      <c r="D17" s="134">
        <v>0</v>
      </c>
      <c r="E17" s="134">
        <v>0</v>
      </c>
      <c r="F17" s="134">
        <v>0</v>
      </c>
      <c r="G17" s="134">
        <v>0</v>
      </c>
    </row>
    <row r="18" spans="1:7">
      <c r="A18" s="103" t="s">
        <v>499</v>
      </c>
      <c r="B18" s="134">
        <v>0</v>
      </c>
      <c r="C18" s="134">
        <v>0</v>
      </c>
      <c r="D18" s="134">
        <v>0</v>
      </c>
      <c r="E18" s="134">
        <v>0</v>
      </c>
      <c r="F18" s="134">
        <v>0</v>
      </c>
      <c r="G18" s="134">
        <v>0</v>
      </c>
    </row>
    <row r="19" spans="1:7">
      <c r="A19" s="82" t="s">
        <v>500</v>
      </c>
      <c r="B19" s="134">
        <v>0</v>
      </c>
      <c r="C19" s="134">
        <v>0</v>
      </c>
      <c r="D19" s="134">
        <v>0</v>
      </c>
      <c r="E19" s="134">
        <v>0</v>
      </c>
      <c r="F19" s="134">
        <v>0</v>
      </c>
      <c r="G19" s="134">
        <v>0</v>
      </c>
    </row>
    <row r="20" spans="1:7">
      <c r="A20" s="30"/>
      <c r="B20" s="135"/>
      <c r="C20" s="135"/>
      <c r="D20" s="135"/>
      <c r="E20" s="135"/>
      <c r="F20" s="135"/>
      <c r="G20" s="135"/>
    </row>
    <row r="21" spans="1:7" s="65" customFormat="1">
      <c r="A21" s="136" t="s">
        <v>501</v>
      </c>
      <c r="B21" s="133">
        <f t="shared" ref="B21:G21" si="1">SUM(B22,B23,B24,B27,B28,B31)</f>
        <v>50341018.259999998</v>
      </c>
      <c r="C21" s="133">
        <f t="shared" si="1"/>
        <v>4380970.37</v>
      </c>
      <c r="D21" s="133">
        <f t="shared" si="1"/>
        <v>54721988.629999995</v>
      </c>
      <c r="E21" s="133">
        <f t="shared" si="1"/>
        <v>8982782.8499999996</v>
      </c>
      <c r="F21" s="133">
        <f t="shared" si="1"/>
        <v>8620529.0299999993</v>
      </c>
      <c r="G21" s="133">
        <f t="shared" si="1"/>
        <v>45739205.779999994</v>
      </c>
    </row>
    <row r="22" spans="1:7" s="65" customFormat="1">
      <c r="A22" s="82" t="s">
        <v>491</v>
      </c>
      <c r="B22" s="37">
        <v>50341018.259999998</v>
      </c>
      <c r="C22" s="37">
        <v>4380970.37</v>
      </c>
      <c r="D22" s="37">
        <v>54721988.629999995</v>
      </c>
      <c r="E22" s="37">
        <v>8982782.8499999996</v>
      </c>
      <c r="F22" s="37">
        <v>8620529.0299999993</v>
      </c>
      <c r="G22" s="37">
        <v>45739205.779999994</v>
      </c>
    </row>
    <row r="23" spans="1:7" s="65" customFormat="1">
      <c r="A23" s="82" t="s">
        <v>492</v>
      </c>
      <c r="B23" s="134">
        <v>0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</row>
    <row r="24" spans="1:7" s="65" customFormat="1">
      <c r="A24" s="82" t="s">
        <v>493</v>
      </c>
      <c r="B24" s="134">
        <v>0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</row>
    <row r="25" spans="1:7" s="65" customFormat="1">
      <c r="A25" s="103" t="s">
        <v>494</v>
      </c>
      <c r="B25" s="134">
        <v>0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</row>
    <row r="26" spans="1:7" s="65" customFormat="1">
      <c r="A26" s="103" t="s">
        <v>495</v>
      </c>
      <c r="B26" s="134">
        <v>0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</row>
    <row r="27" spans="1:7" s="65" customFormat="1">
      <c r="A27" s="82" t="s">
        <v>496</v>
      </c>
      <c r="B27" s="134">
        <v>0</v>
      </c>
      <c r="C27" s="134">
        <v>0</v>
      </c>
      <c r="D27" s="134">
        <v>0</v>
      </c>
      <c r="E27" s="134">
        <v>0</v>
      </c>
      <c r="F27" s="134">
        <v>0</v>
      </c>
      <c r="G27" s="134">
        <v>0</v>
      </c>
    </row>
    <row r="28" spans="1:7" s="65" customFormat="1">
      <c r="A28" s="124" t="s">
        <v>497</v>
      </c>
      <c r="B28" s="134">
        <v>0</v>
      </c>
      <c r="C28" s="134">
        <v>0</v>
      </c>
      <c r="D28" s="134">
        <v>0</v>
      </c>
      <c r="E28" s="134">
        <v>0</v>
      </c>
      <c r="F28" s="134">
        <v>0</v>
      </c>
      <c r="G28" s="134">
        <v>0</v>
      </c>
    </row>
    <row r="29" spans="1:7" s="65" customFormat="1">
      <c r="A29" s="103" t="s">
        <v>498</v>
      </c>
      <c r="B29" s="134">
        <v>0</v>
      </c>
      <c r="C29" s="134">
        <v>0</v>
      </c>
      <c r="D29" s="134">
        <v>0</v>
      </c>
      <c r="E29" s="134">
        <v>0</v>
      </c>
      <c r="F29" s="134">
        <v>0</v>
      </c>
      <c r="G29" s="134">
        <v>0</v>
      </c>
    </row>
    <row r="30" spans="1:7" s="65" customFormat="1">
      <c r="A30" s="103" t="s">
        <v>499</v>
      </c>
      <c r="B30" s="134">
        <v>0</v>
      </c>
      <c r="C30" s="134">
        <v>0</v>
      </c>
      <c r="D30" s="134">
        <v>0</v>
      </c>
      <c r="E30" s="134">
        <v>0</v>
      </c>
      <c r="F30" s="134">
        <v>0</v>
      </c>
      <c r="G30" s="134">
        <v>0</v>
      </c>
    </row>
    <row r="31" spans="1:7" s="65" customFormat="1">
      <c r="A31" s="82" t="s">
        <v>500</v>
      </c>
      <c r="B31" s="134">
        <v>0</v>
      </c>
      <c r="C31" s="134">
        <v>0</v>
      </c>
      <c r="D31" s="134">
        <v>0</v>
      </c>
      <c r="E31" s="134">
        <v>0</v>
      </c>
      <c r="F31" s="134">
        <v>0</v>
      </c>
      <c r="G31" s="134">
        <v>0</v>
      </c>
    </row>
    <row r="32" spans="1:7">
      <c r="A32" s="30"/>
      <c r="B32" s="135"/>
      <c r="C32" s="135"/>
      <c r="D32" s="135"/>
      <c r="E32" s="135"/>
      <c r="F32" s="135"/>
      <c r="G32" s="135"/>
    </row>
    <row r="33" spans="1:7">
      <c r="A33" s="42" t="s">
        <v>502</v>
      </c>
      <c r="B33" s="133">
        <f t="shared" ref="B33:G33" si="2">B21+B9</f>
        <v>149610642.03</v>
      </c>
      <c r="C33" s="133">
        <f t="shared" si="2"/>
        <v>5272075.3</v>
      </c>
      <c r="D33" s="133">
        <f t="shared" si="2"/>
        <v>154882717.32999998</v>
      </c>
      <c r="E33" s="133">
        <f t="shared" si="2"/>
        <v>28186587.439999998</v>
      </c>
      <c r="F33" s="133">
        <f t="shared" si="2"/>
        <v>27556784.899999999</v>
      </c>
      <c r="G33" s="133">
        <f t="shared" si="2"/>
        <v>126696129.88999999</v>
      </c>
    </row>
    <row r="34" spans="1:7">
      <c r="A34" s="17"/>
      <c r="B34" s="137"/>
      <c r="C34" s="137"/>
      <c r="D34" s="137"/>
      <c r="E34" s="137"/>
      <c r="F34" s="137"/>
      <c r="G34" s="137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activeCell="A15" sqref="A15"/>
    </sheetView>
  </sheetViews>
  <sheetFormatPr baseColWidth="10" defaultColWidth="0" defaultRowHeight="15" zeroHeight="1"/>
  <cols>
    <col min="1" max="1" width="81.42578125" customWidth="1"/>
    <col min="2" max="7" width="20.7109375" customWidth="1"/>
    <col min="8" max="16384" width="10.85546875" hidden="1"/>
  </cols>
  <sheetData>
    <row r="1" spans="1:7" ht="21">
      <c r="A1" s="196" t="s">
        <v>503</v>
      </c>
      <c r="B1" s="196"/>
      <c r="C1" s="196"/>
      <c r="D1" s="196"/>
      <c r="E1" s="196"/>
      <c r="F1" s="196"/>
      <c r="G1" s="196"/>
    </row>
    <row r="2" spans="1:7">
      <c r="A2" s="179" t="s">
        <v>629</v>
      </c>
      <c r="B2" s="180"/>
      <c r="C2" s="180"/>
      <c r="D2" s="180"/>
      <c r="E2" s="180"/>
      <c r="F2" s="180"/>
      <c r="G2" s="181"/>
    </row>
    <row r="3" spans="1:7">
      <c r="A3" s="182" t="s">
        <v>504</v>
      </c>
      <c r="B3" s="183"/>
      <c r="C3" s="183"/>
      <c r="D3" s="183"/>
      <c r="E3" s="183"/>
      <c r="F3" s="183"/>
      <c r="G3" s="184"/>
    </row>
    <row r="4" spans="1:7">
      <c r="A4" s="182" t="s">
        <v>3</v>
      </c>
      <c r="B4" s="183"/>
      <c r="C4" s="183"/>
      <c r="D4" s="183"/>
      <c r="E4" s="183"/>
      <c r="F4" s="183"/>
      <c r="G4" s="184"/>
    </row>
    <row r="5" spans="1:7">
      <c r="A5" s="182" t="s">
        <v>505</v>
      </c>
      <c r="B5" s="183"/>
      <c r="C5" s="183"/>
      <c r="D5" s="183"/>
      <c r="E5" s="183"/>
      <c r="F5" s="183"/>
      <c r="G5" s="184"/>
    </row>
    <row r="6" spans="1:7">
      <c r="A6" s="193" t="s">
        <v>506</v>
      </c>
      <c r="B6" s="139" t="e">
        <f>ANIO1P</f>
        <v>#REF!</v>
      </c>
      <c r="C6" s="208" t="e">
        <f>ANIO2P</f>
        <v>#REF!</v>
      </c>
      <c r="D6" s="208" t="e">
        <f>ANIO3P</f>
        <v>#REF!</v>
      </c>
      <c r="E6" s="208" t="e">
        <f>ANIO4P</f>
        <v>#REF!</v>
      </c>
      <c r="F6" s="208" t="e">
        <f>ANIO5P</f>
        <v>#REF!</v>
      </c>
      <c r="G6" s="208" t="e">
        <f>ANIO6P</f>
        <v>#REF!</v>
      </c>
    </row>
    <row r="7" spans="1:7" ht="45">
      <c r="A7" s="194"/>
      <c r="B7" s="140" t="s">
        <v>507</v>
      </c>
      <c r="C7" s="209"/>
      <c r="D7" s="209"/>
      <c r="E7" s="209"/>
      <c r="F7" s="209"/>
      <c r="G7" s="209"/>
    </row>
    <row r="8" spans="1:7">
      <c r="A8" s="100" t="s">
        <v>508</v>
      </c>
      <c r="B8" s="141">
        <f t="shared" ref="B8:G8" si="0">SUM(B9:B20)</f>
        <v>197477650.52294722</v>
      </c>
      <c r="C8" s="141">
        <f t="shared" si="0"/>
        <v>203401980.03863564</v>
      </c>
      <c r="D8" s="141">
        <f t="shared" si="0"/>
        <v>209504039.43979472</v>
      </c>
      <c r="E8" s="141">
        <f t="shared" si="0"/>
        <v>215789160.62298852</v>
      </c>
      <c r="F8" s="141">
        <f t="shared" si="0"/>
        <v>222262835.4416782</v>
      </c>
      <c r="G8" s="141">
        <f t="shared" si="0"/>
        <v>228930720.5049285</v>
      </c>
    </row>
    <row r="9" spans="1:7">
      <c r="A9" s="82" t="s">
        <v>319</v>
      </c>
      <c r="B9" s="142">
        <v>17803185.030000001</v>
      </c>
      <c r="C9" s="143">
        <f>B9*3%+B9</f>
        <v>18337280.580900002</v>
      </c>
      <c r="D9" s="142">
        <f t="shared" ref="D9:G9" si="1">C9*3%+C9</f>
        <v>18887398.998327002</v>
      </c>
      <c r="E9" s="143">
        <f t="shared" si="1"/>
        <v>19454020.968276814</v>
      </c>
      <c r="F9" s="142">
        <f t="shared" si="1"/>
        <v>20037641.597325116</v>
      </c>
      <c r="G9" s="142">
        <f t="shared" si="1"/>
        <v>20638770.84524487</v>
      </c>
    </row>
    <row r="10" spans="1:7">
      <c r="A10" s="82" t="s">
        <v>320</v>
      </c>
      <c r="B10" s="142">
        <v>0</v>
      </c>
      <c r="C10" s="142">
        <v>0</v>
      </c>
      <c r="D10" s="142">
        <v>0</v>
      </c>
      <c r="E10" s="142">
        <v>0</v>
      </c>
      <c r="F10" s="142">
        <v>0</v>
      </c>
      <c r="G10" s="142">
        <v>0</v>
      </c>
    </row>
    <row r="11" spans="1:7">
      <c r="A11" s="82" t="s">
        <v>321</v>
      </c>
      <c r="B11" s="142">
        <v>4864395.7398976255</v>
      </c>
      <c r="C11" s="143">
        <f>B11*3%+B11</f>
        <v>5010327.6120945541</v>
      </c>
      <c r="D11" s="142">
        <f t="shared" ref="D11:G11" si="2">C11*3%+C11</f>
        <v>5160637.4404573906</v>
      </c>
      <c r="E11" s="143">
        <f t="shared" si="2"/>
        <v>5315456.5636711121</v>
      </c>
      <c r="F11" s="142">
        <f t="shared" si="2"/>
        <v>5474920.2605812456</v>
      </c>
      <c r="G11" s="142">
        <f t="shared" si="2"/>
        <v>5639167.8683986831</v>
      </c>
    </row>
    <row r="12" spans="1:7">
      <c r="A12" s="82" t="s">
        <v>509</v>
      </c>
      <c r="B12" s="142">
        <v>25233188.339513998</v>
      </c>
      <c r="C12" s="143">
        <f t="shared" ref="C12:G14" si="3">B12*3%+B12</f>
        <v>25990183.98969942</v>
      </c>
      <c r="D12" s="142">
        <f t="shared" si="3"/>
        <v>26769889.509390403</v>
      </c>
      <c r="E12" s="143">
        <f t="shared" si="3"/>
        <v>27572986.194672115</v>
      </c>
      <c r="F12" s="142">
        <f t="shared" si="3"/>
        <v>28400175.780512277</v>
      </c>
      <c r="G12" s="142">
        <f t="shared" si="3"/>
        <v>29252181.053927645</v>
      </c>
    </row>
    <row r="13" spans="1:7">
      <c r="A13" s="82" t="s">
        <v>323</v>
      </c>
      <c r="B13" s="142">
        <v>3338854.3</v>
      </c>
      <c r="C13" s="143">
        <f t="shared" si="3"/>
        <v>3439019.929</v>
      </c>
      <c r="D13" s="142">
        <f t="shared" si="3"/>
        <v>3542190.5268700002</v>
      </c>
      <c r="E13" s="143">
        <f t="shared" si="3"/>
        <v>3648456.2426761002</v>
      </c>
      <c r="F13" s="142">
        <f t="shared" si="3"/>
        <v>3757909.9299563831</v>
      </c>
      <c r="G13" s="142">
        <f t="shared" si="3"/>
        <v>3870647.2278550747</v>
      </c>
    </row>
    <row r="14" spans="1:7">
      <c r="A14" s="82" t="s">
        <v>324</v>
      </c>
      <c r="B14" s="142">
        <v>2066469.45</v>
      </c>
      <c r="C14" s="143">
        <f t="shared" si="3"/>
        <v>2128463.5334999999</v>
      </c>
      <c r="D14" s="142">
        <f t="shared" si="3"/>
        <v>2192317.4395049997</v>
      </c>
      <c r="E14" s="143">
        <f t="shared" si="3"/>
        <v>2258086.9626901494</v>
      </c>
      <c r="F14" s="142">
        <f t="shared" si="3"/>
        <v>2325829.5715708537</v>
      </c>
      <c r="G14" s="142">
        <f t="shared" si="3"/>
        <v>2395604.4587179795</v>
      </c>
    </row>
    <row r="15" spans="1:7">
      <c r="A15" s="82" t="s">
        <v>510</v>
      </c>
      <c r="B15" s="142">
        <v>0</v>
      </c>
      <c r="C15" s="142">
        <v>0</v>
      </c>
      <c r="D15" s="142">
        <v>0</v>
      </c>
      <c r="E15" s="142">
        <v>0</v>
      </c>
      <c r="F15" s="142">
        <v>0</v>
      </c>
      <c r="G15" s="142">
        <v>0</v>
      </c>
    </row>
    <row r="16" spans="1:7">
      <c r="A16" s="82" t="s">
        <v>511</v>
      </c>
      <c r="B16" s="142">
        <v>141066239.77817279</v>
      </c>
      <c r="C16" s="143">
        <v>145298226.97151798</v>
      </c>
      <c r="D16" s="142">
        <v>149657173.78066352</v>
      </c>
      <c r="E16" s="143">
        <v>154146888.9940834</v>
      </c>
      <c r="F16" s="142">
        <v>158771295.66390592</v>
      </c>
      <c r="G16" s="142">
        <v>163534434.53382307</v>
      </c>
    </row>
    <row r="17" spans="1:7">
      <c r="A17" s="102" t="s">
        <v>512</v>
      </c>
      <c r="B17" s="144">
        <v>2402618.8853628002</v>
      </c>
      <c r="C17" s="145">
        <v>2474697.4519236842</v>
      </c>
      <c r="D17" s="144">
        <v>2548938.3754813946</v>
      </c>
      <c r="E17" s="145">
        <v>2625406.5267458363</v>
      </c>
      <c r="F17" s="144">
        <v>2704168.7225482115</v>
      </c>
      <c r="G17" s="144">
        <v>2785293.7842246578</v>
      </c>
    </row>
    <row r="18" spans="1:7">
      <c r="A18" s="82" t="s">
        <v>344</v>
      </c>
      <c r="B18" s="142">
        <v>0</v>
      </c>
      <c r="C18" s="142">
        <v>0</v>
      </c>
      <c r="D18" s="142">
        <v>0</v>
      </c>
      <c r="E18" s="142">
        <v>0</v>
      </c>
      <c r="F18" s="142">
        <v>0</v>
      </c>
      <c r="G18" s="142">
        <v>0</v>
      </c>
    </row>
    <row r="19" spans="1:7">
      <c r="A19" s="82" t="s">
        <v>345</v>
      </c>
      <c r="B19" s="142">
        <v>0</v>
      </c>
      <c r="C19" s="142">
        <v>0</v>
      </c>
      <c r="D19" s="142">
        <v>0</v>
      </c>
      <c r="E19" s="142">
        <v>0</v>
      </c>
      <c r="F19" s="142">
        <v>0</v>
      </c>
      <c r="G19" s="142">
        <v>0</v>
      </c>
    </row>
    <row r="20" spans="1:7">
      <c r="A20" s="82" t="s">
        <v>513</v>
      </c>
      <c r="B20" s="142">
        <v>702699</v>
      </c>
      <c r="C20" s="143">
        <v>723779.97</v>
      </c>
      <c r="D20" s="142">
        <v>745493.36910000001</v>
      </c>
      <c r="E20" s="143">
        <v>767858.17017299996</v>
      </c>
      <c r="F20" s="142">
        <v>790893.91527818993</v>
      </c>
      <c r="G20" s="142">
        <v>814620.7327365356</v>
      </c>
    </row>
    <row r="21" spans="1:7">
      <c r="A21" s="30"/>
      <c r="B21" s="30"/>
      <c r="C21" s="30"/>
      <c r="D21" s="30"/>
      <c r="E21" s="30"/>
      <c r="F21" s="30"/>
      <c r="G21" s="30"/>
    </row>
    <row r="22" spans="1:7">
      <c r="A22" s="42" t="s">
        <v>514</v>
      </c>
      <c r="B22" s="43">
        <f t="shared" ref="B22:G22" si="4">SUM(B23:B27)</f>
        <v>252146001.40000001</v>
      </c>
      <c r="C22" s="43">
        <f t="shared" si="4"/>
        <v>259710381.442</v>
      </c>
      <c r="D22" s="43">
        <f t="shared" si="4"/>
        <v>267501692.88526002</v>
      </c>
      <c r="E22" s="43">
        <f t="shared" si="4"/>
        <v>275526743.67181778</v>
      </c>
      <c r="F22" s="43">
        <f t="shared" si="4"/>
        <v>283792545.98197234</v>
      </c>
      <c r="G22" s="43">
        <f t="shared" si="4"/>
        <v>292306322.36143154</v>
      </c>
    </row>
    <row r="23" spans="1:7">
      <c r="A23" s="82" t="s">
        <v>515</v>
      </c>
      <c r="B23" s="33">
        <v>164022704.18000001</v>
      </c>
      <c r="C23" s="33">
        <v>168943385.30540001</v>
      </c>
      <c r="D23" s="33">
        <v>174011686.864562</v>
      </c>
      <c r="E23" s="33">
        <v>179232037.47049886</v>
      </c>
      <c r="F23" s="33">
        <v>184608998.59461385</v>
      </c>
      <c r="G23" s="33">
        <v>190147268.55245227</v>
      </c>
    </row>
    <row r="24" spans="1:7">
      <c r="A24" s="82" t="s">
        <v>516</v>
      </c>
      <c r="B24" s="33">
        <v>84491742.340000004</v>
      </c>
      <c r="C24" s="33">
        <v>87026494.610200003</v>
      </c>
      <c r="D24" s="33">
        <v>89637289.448505998</v>
      </c>
      <c r="E24" s="33">
        <v>92326408.131961182</v>
      </c>
      <c r="F24" s="33">
        <v>95096200.375920013</v>
      </c>
      <c r="G24" s="33">
        <v>97949086.387197614</v>
      </c>
    </row>
    <row r="25" spans="1:7">
      <c r="A25" s="82" t="s">
        <v>517</v>
      </c>
      <c r="B25" s="142">
        <v>0</v>
      </c>
      <c r="C25" s="142">
        <v>0</v>
      </c>
      <c r="D25" s="142">
        <v>0</v>
      </c>
      <c r="E25" s="142">
        <v>0</v>
      </c>
      <c r="F25" s="142">
        <v>0</v>
      </c>
      <c r="G25" s="142">
        <v>0</v>
      </c>
    </row>
    <row r="26" spans="1:7">
      <c r="A26" s="146" t="s">
        <v>370</v>
      </c>
      <c r="B26" s="142">
        <v>0</v>
      </c>
      <c r="C26" s="142">
        <v>0</v>
      </c>
      <c r="D26" s="142">
        <v>0</v>
      </c>
      <c r="E26" s="142">
        <v>0</v>
      </c>
      <c r="F26" s="142">
        <v>0</v>
      </c>
      <c r="G26" s="142">
        <v>0</v>
      </c>
    </row>
    <row r="27" spans="1:7">
      <c r="A27" s="82" t="s">
        <v>371</v>
      </c>
      <c r="B27" s="33">
        <v>3631554.88</v>
      </c>
      <c r="C27" s="33">
        <v>3740501.5263999999</v>
      </c>
      <c r="D27" s="33">
        <v>3852716.5721919998</v>
      </c>
      <c r="E27" s="33">
        <v>3968298.0693577598</v>
      </c>
      <c r="F27" s="33">
        <v>4087347.0114384927</v>
      </c>
      <c r="G27" s="33">
        <v>4209967.421781647</v>
      </c>
    </row>
    <row r="28" spans="1:7">
      <c r="A28" s="30"/>
      <c r="B28" s="30"/>
      <c r="C28" s="30"/>
      <c r="D28" s="30"/>
      <c r="E28" s="30"/>
      <c r="F28" s="30"/>
      <c r="G28" s="30"/>
    </row>
    <row r="29" spans="1:7">
      <c r="A29" s="42" t="s">
        <v>518</v>
      </c>
      <c r="B29" s="43">
        <f t="shared" ref="B29:G29" si="5">B30</f>
        <v>0</v>
      </c>
      <c r="C29" s="43">
        <f t="shared" si="5"/>
        <v>0</v>
      </c>
      <c r="D29" s="43">
        <f t="shared" si="5"/>
        <v>0</v>
      </c>
      <c r="E29" s="43">
        <f t="shared" si="5"/>
        <v>0</v>
      </c>
      <c r="F29" s="43">
        <f t="shared" si="5"/>
        <v>0</v>
      </c>
      <c r="G29" s="43">
        <f t="shared" si="5"/>
        <v>0</v>
      </c>
    </row>
    <row r="30" spans="1:7">
      <c r="A30" s="82" t="s">
        <v>374</v>
      </c>
      <c r="B30" s="142">
        <v>0</v>
      </c>
      <c r="C30" s="142">
        <v>0</v>
      </c>
      <c r="D30" s="142">
        <v>0</v>
      </c>
      <c r="E30" s="142">
        <v>0</v>
      </c>
      <c r="F30" s="142">
        <v>0</v>
      </c>
      <c r="G30" s="142">
        <v>0</v>
      </c>
    </row>
    <row r="31" spans="1:7">
      <c r="A31" s="30"/>
      <c r="B31" s="30"/>
      <c r="C31" s="30"/>
      <c r="D31" s="30"/>
      <c r="E31" s="30"/>
      <c r="F31" s="30"/>
      <c r="G31" s="30"/>
    </row>
    <row r="32" spans="1:7">
      <c r="A32" s="136" t="s">
        <v>519</v>
      </c>
      <c r="B32" s="43">
        <f t="shared" ref="B32:G32" si="6">B29+B22+B8</f>
        <v>449623651.92294723</v>
      </c>
      <c r="C32" s="43">
        <f t="shared" si="6"/>
        <v>463112361.48063564</v>
      </c>
      <c r="D32" s="43">
        <f t="shared" si="6"/>
        <v>477005732.32505476</v>
      </c>
      <c r="E32" s="43">
        <f t="shared" si="6"/>
        <v>491315904.2948063</v>
      </c>
      <c r="F32" s="43">
        <f t="shared" si="6"/>
        <v>506055381.4236505</v>
      </c>
      <c r="G32" s="43">
        <f t="shared" si="6"/>
        <v>521237042.86636007</v>
      </c>
    </row>
    <row r="33" spans="1:7">
      <c r="A33" s="30"/>
      <c r="B33" s="30"/>
      <c r="C33" s="30"/>
      <c r="D33" s="30"/>
      <c r="E33" s="30"/>
      <c r="F33" s="30"/>
      <c r="G33" s="30"/>
    </row>
    <row r="34" spans="1:7">
      <c r="A34" s="42" t="s">
        <v>376</v>
      </c>
      <c r="B34" s="96"/>
      <c r="C34" s="96"/>
      <c r="D34" s="96"/>
      <c r="E34" s="96"/>
      <c r="F34" s="96"/>
      <c r="G34" s="96"/>
    </row>
    <row r="35" spans="1:7" ht="30">
      <c r="A35" s="147" t="s">
        <v>520</v>
      </c>
      <c r="B35" s="142">
        <v>0</v>
      </c>
      <c r="C35" s="142">
        <v>0</v>
      </c>
      <c r="D35" s="142">
        <v>0</v>
      </c>
      <c r="E35" s="142">
        <v>0</v>
      </c>
      <c r="F35" s="142">
        <v>0</v>
      </c>
      <c r="G35" s="142">
        <v>0</v>
      </c>
    </row>
    <row r="36" spans="1:7" ht="30">
      <c r="A36" s="147" t="s">
        <v>378</v>
      </c>
      <c r="B36" s="142">
        <v>0</v>
      </c>
      <c r="C36" s="142">
        <v>0</v>
      </c>
      <c r="D36" s="142">
        <v>0</v>
      </c>
      <c r="E36" s="142">
        <v>0</v>
      </c>
      <c r="F36" s="142">
        <v>0</v>
      </c>
      <c r="G36" s="142">
        <v>0</v>
      </c>
    </row>
    <row r="37" spans="1:7">
      <c r="A37" s="42" t="s">
        <v>521</v>
      </c>
      <c r="B37" s="43">
        <f t="shared" ref="B37:G37" si="7">B36+B35</f>
        <v>0</v>
      </c>
      <c r="C37" s="43">
        <f t="shared" si="7"/>
        <v>0</v>
      </c>
      <c r="D37" s="43">
        <f t="shared" si="7"/>
        <v>0</v>
      </c>
      <c r="E37" s="43">
        <f t="shared" si="7"/>
        <v>0</v>
      </c>
      <c r="F37" s="43">
        <f t="shared" si="7"/>
        <v>0</v>
      </c>
      <c r="G37" s="43">
        <f t="shared" si="7"/>
        <v>0</v>
      </c>
    </row>
    <row r="38" spans="1:7">
      <c r="A38" s="79"/>
      <c r="B38" s="68"/>
      <c r="C38" s="68"/>
      <c r="D38" s="68"/>
      <c r="E38" s="68"/>
      <c r="F38" s="68"/>
      <c r="G38" s="68"/>
    </row>
    <row r="39" spans="1:7" hidden="1">
      <c r="A39" s="19"/>
      <c r="B39" s="19"/>
      <c r="C39" s="19"/>
      <c r="D39" s="19"/>
      <c r="E39" s="19"/>
      <c r="F39" s="19"/>
      <c r="G39" s="19"/>
    </row>
    <row r="40" spans="1:7" hidden="1">
      <c r="A40" s="19"/>
      <c r="B40" s="19"/>
      <c r="C40" s="19"/>
      <c r="D40" s="19"/>
      <c r="E40" s="19"/>
      <c r="F40" s="19"/>
      <c r="G40" s="19"/>
    </row>
    <row r="41" spans="1:7" hidden="1">
      <c r="A41" s="19"/>
      <c r="B41" s="19"/>
      <c r="C41" s="19"/>
      <c r="D41" s="19"/>
      <c r="E41" s="19"/>
      <c r="F41" s="19"/>
      <c r="G41" s="19"/>
    </row>
    <row r="42" spans="1:7" hidden="1">
      <c r="A42" s="19"/>
      <c r="B42" s="19"/>
      <c r="C42" s="19"/>
      <c r="D42" s="19"/>
      <c r="E42" s="19"/>
      <c r="F42" s="19"/>
      <c r="G42" s="19"/>
    </row>
    <row r="43" spans="1:7" hidden="1">
      <c r="A43" s="19"/>
      <c r="B43" s="19"/>
      <c r="C43" s="19"/>
      <c r="D43" s="19"/>
      <c r="E43" s="19"/>
      <c r="F43" s="19"/>
      <c r="G43" s="19"/>
    </row>
  </sheetData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7">
    <dataValidation type="decimal" allowBlank="1" showInputMessage="1" showErrorMessage="1" sqref="B8:G37">
      <formula1>-1.79769313486231E+100</formula1>
      <formula2>1.79769313486231E+100</formula2>
    </dataValidation>
    <dataValidation allowBlank="1" showInputMessage="1" showErrorMessage="1" prompt="Año 5 (d)" sqref="G6:G7"/>
    <dataValidation allowBlank="1" showInputMessage="1" showErrorMessage="1" prompt="Año 4 (d)" sqref="F6:F7"/>
    <dataValidation allowBlank="1" showInputMessage="1" showErrorMessage="1" prompt="Año 3 (d)" sqref="E6:E7"/>
    <dataValidation allowBlank="1" showInputMessage="1" showErrorMessage="1" prompt="Año 2 (d)" sqref="D6:D7"/>
    <dataValidation allowBlank="1" showInputMessage="1" showErrorMessage="1" prompt="Año 1 (d)" sqref="C6:C7"/>
    <dataValidation type="decimal" allowBlank="1" showInputMessage="1" showErrorMessage="1" prompt="Año en Cuestión (de proyecto de presupuesto) (c)" sqref="B6">
      <formula1>#REF!</formula1>
      <formula2>#REF!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A2" sqref="A2:G2"/>
    </sheetView>
  </sheetViews>
  <sheetFormatPr baseColWidth="10" defaultColWidth="0" defaultRowHeight="15" customHeight="1" zeroHeight="1"/>
  <cols>
    <col min="1" max="1" width="68.7109375" style="25" customWidth="1"/>
    <col min="2" max="7" width="20.7109375" style="25" customWidth="1"/>
    <col min="8" max="16384" width="10.85546875" style="25" hidden="1"/>
  </cols>
  <sheetData>
    <row r="1" spans="1:7" customFormat="1" ht="21">
      <c r="A1" s="196" t="s">
        <v>522</v>
      </c>
      <c r="B1" s="196"/>
      <c r="C1" s="196"/>
      <c r="D1" s="196"/>
      <c r="E1" s="196"/>
      <c r="F1" s="196"/>
      <c r="G1" s="196"/>
    </row>
    <row r="2" spans="1:7" customFormat="1">
      <c r="A2" s="179" t="s">
        <v>629</v>
      </c>
      <c r="B2" s="180"/>
      <c r="C2" s="180"/>
      <c r="D2" s="180"/>
      <c r="E2" s="180"/>
      <c r="F2" s="180"/>
      <c r="G2" s="181"/>
    </row>
    <row r="3" spans="1:7" customFormat="1">
      <c r="A3" s="182" t="s">
        <v>523</v>
      </c>
      <c r="B3" s="183"/>
      <c r="C3" s="183"/>
      <c r="D3" s="183"/>
      <c r="E3" s="183"/>
      <c r="F3" s="183"/>
      <c r="G3" s="184"/>
    </row>
    <row r="4" spans="1:7" customFormat="1">
      <c r="A4" s="182" t="s">
        <v>3</v>
      </c>
      <c r="B4" s="183"/>
      <c r="C4" s="183"/>
      <c r="D4" s="183"/>
      <c r="E4" s="183"/>
      <c r="F4" s="183"/>
      <c r="G4" s="184"/>
    </row>
    <row r="5" spans="1:7" customFormat="1">
      <c r="A5" s="182" t="s">
        <v>505</v>
      </c>
      <c r="B5" s="183"/>
      <c r="C5" s="183"/>
      <c r="D5" s="183"/>
      <c r="E5" s="183"/>
      <c r="F5" s="183"/>
      <c r="G5" s="184"/>
    </row>
    <row r="6" spans="1:7" customFormat="1">
      <c r="A6" s="210" t="s">
        <v>524</v>
      </c>
      <c r="B6" s="139" t="e">
        <f>ANIO1P</f>
        <v>#REF!</v>
      </c>
      <c r="C6" s="208" t="e">
        <f>ANIO2P</f>
        <v>#REF!</v>
      </c>
      <c r="D6" s="208" t="e">
        <f>ANIO3P</f>
        <v>#REF!</v>
      </c>
      <c r="E6" s="208" t="e">
        <f>ANIO4P</f>
        <v>#REF!</v>
      </c>
      <c r="F6" s="208" t="e">
        <f>ANIO5P</f>
        <v>#REF!</v>
      </c>
      <c r="G6" s="208" t="e">
        <f>ANIO6P</f>
        <v>#REF!</v>
      </c>
    </row>
    <row r="7" spans="1:7" customFormat="1" ht="45">
      <c r="A7" s="211"/>
      <c r="B7" s="140" t="s">
        <v>507</v>
      </c>
      <c r="C7" s="209"/>
      <c r="D7" s="209"/>
      <c r="E7" s="209"/>
      <c r="F7" s="209"/>
      <c r="G7" s="209"/>
    </row>
    <row r="8" spans="1:7">
      <c r="A8" s="100" t="s">
        <v>525</v>
      </c>
      <c r="B8" s="141">
        <f t="shared" ref="B8:G8" si="0">SUM(B9:B17)</f>
        <v>197477650.52370003</v>
      </c>
      <c r="C8" s="141">
        <f t="shared" si="0"/>
        <v>203401980.03941101</v>
      </c>
      <c r="D8" s="141">
        <f t="shared" si="0"/>
        <v>209504039.44059333</v>
      </c>
      <c r="E8" s="141">
        <f t="shared" si="0"/>
        <v>215789160.62381113</v>
      </c>
      <c r="F8" s="141">
        <f t="shared" si="0"/>
        <v>222262835.44252548</v>
      </c>
      <c r="G8" s="141">
        <f t="shared" si="0"/>
        <v>228930720.50580123</v>
      </c>
    </row>
    <row r="9" spans="1:7">
      <c r="A9" s="82" t="s">
        <v>526</v>
      </c>
      <c r="B9" s="33">
        <v>102247712.4831</v>
      </c>
      <c r="C9" s="33">
        <v>105315143.857593</v>
      </c>
      <c r="D9" s="33">
        <v>108474598.17332079</v>
      </c>
      <c r="E9" s="33">
        <v>111728836.11852042</v>
      </c>
      <c r="F9" s="33">
        <v>115080701.20207603</v>
      </c>
      <c r="G9" s="33">
        <v>118533122.2381383</v>
      </c>
    </row>
    <row r="10" spans="1:7">
      <c r="A10" s="82" t="s">
        <v>527</v>
      </c>
      <c r="B10" s="33">
        <v>9663349.9651000015</v>
      </c>
      <c r="C10" s="33">
        <v>9953250.4640530013</v>
      </c>
      <c r="D10" s="33">
        <v>10251847.97797459</v>
      </c>
      <c r="E10" s="33">
        <v>10559403.417313827</v>
      </c>
      <c r="F10" s="33">
        <v>10876185.519833243</v>
      </c>
      <c r="G10" s="33">
        <v>11202471.08542824</v>
      </c>
    </row>
    <row r="11" spans="1:7">
      <c r="A11" s="82" t="s">
        <v>528</v>
      </c>
      <c r="B11" s="33">
        <v>32490130.634500004</v>
      </c>
      <c r="C11" s="33">
        <v>33464834.553535007</v>
      </c>
      <c r="D11" s="33">
        <v>34468779.590141051</v>
      </c>
      <c r="E11" s="33">
        <v>35502842.977845281</v>
      </c>
      <c r="F11" s="33">
        <v>36567928.267180637</v>
      </c>
      <c r="G11" s="33">
        <v>37664966.115196057</v>
      </c>
    </row>
    <row r="12" spans="1:7">
      <c r="A12" s="82" t="s">
        <v>529</v>
      </c>
      <c r="B12" s="33">
        <v>33659690.535999998</v>
      </c>
      <c r="C12" s="33">
        <v>34669481.252080001</v>
      </c>
      <c r="D12" s="33">
        <v>35709565.6896424</v>
      </c>
      <c r="E12" s="33">
        <v>36780852.660331674</v>
      </c>
      <c r="F12" s="33">
        <v>37884278.240141623</v>
      </c>
      <c r="G12" s="33">
        <v>39020806.587345876</v>
      </c>
    </row>
    <row r="13" spans="1:7">
      <c r="A13" s="82" t="s">
        <v>530</v>
      </c>
      <c r="B13" s="33">
        <v>861705.72499999998</v>
      </c>
      <c r="C13" s="33">
        <v>887556.89675000007</v>
      </c>
      <c r="D13" s="33">
        <v>914183.60365250008</v>
      </c>
      <c r="E13" s="33">
        <v>941609.1117620751</v>
      </c>
      <c r="F13" s="33">
        <v>969857.38511493732</v>
      </c>
      <c r="G13" s="33">
        <v>998953.10666838544</v>
      </c>
    </row>
    <row r="14" spans="1:7">
      <c r="A14" s="82" t="s">
        <v>531</v>
      </c>
      <c r="B14" s="33">
        <v>18555061.18</v>
      </c>
      <c r="C14" s="33">
        <v>19111713.0154</v>
      </c>
      <c r="D14" s="33">
        <v>19685064.405862</v>
      </c>
      <c r="E14" s="33">
        <v>20275616.33803786</v>
      </c>
      <c r="F14" s="33">
        <v>20883884.828178994</v>
      </c>
      <c r="G14" s="33">
        <v>21510401.373024363</v>
      </c>
    </row>
    <row r="15" spans="1:7">
      <c r="A15" s="82" t="s">
        <v>532</v>
      </c>
      <c r="B15" s="142">
        <v>0</v>
      </c>
      <c r="C15" s="142">
        <v>0</v>
      </c>
      <c r="D15" s="142">
        <v>0</v>
      </c>
      <c r="E15" s="142">
        <v>0</v>
      </c>
      <c r="F15" s="142">
        <v>0</v>
      </c>
      <c r="G15" s="142">
        <v>0</v>
      </c>
    </row>
    <row r="16" spans="1:7">
      <c r="A16" s="82" t="s">
        <v>533</v>
      </c>
      <c r="B16" s="142">
        <v>0</v>
      </c>
      <c r="C16" s="142">
        <v>0</v>
      </c>
      <c r="D16" s="142">
        <v>0</v>
      </c>
      <c r="E16" s="142">
        <v>0</v>
      </c>
      <c r="F16" s="142">
        <v>0</v>
      </c>
      <c r="G16" s="142">
        <v>0</v>
      </c>
    </row>
    <row r="17" spans="1:7">
      <c r="A17" s="82" t="s">
        <v>534</v>
      </c>
      <c r="B17" s="142">
        <v>0</v>
      </c>
      <c r="C17" s="142">
        <v>0</v>
      </c>
      <c r="D17" s="142">
        <v>0</v>
      </c>
      <c r="E17" s="142">
        <v>0</v>
      </c>
      <c r="F17" s="142">
        <v>0</v>
      </c>
      <c r="G17" s="142">
        <v>0</v>
      </c>
    </row>
    <row r="18" spans="1:7">
      <c r="A18" s="148"/>
      <c r="B18" s="30"/>
      <c r="C18" s="30"/>
      <c r="D18" s="30"/>
      <c r="E18" s="30"/>
      <c r="F18" s="30"/>
      <c r="G18" s="30"/>
    </row>
    <row r="19" spans="1:7">
      <c r="A19" s="42" t="s">
        <v>535</v>
      </c>
      <c r="B19" s="43">
        <f t="shared" ref="B19:G19" si="1">SUM(B20:B28)</f>
        <v>252146001.39980003</v>
      </c>
      <c r="C19" s="43">
        <f t="shared" si="1"/>
        <v>259710381.44179401</v>
      </c>
      <c r="D19" s="43">
        <f t="shared" si="1"/>
        <v>267501692.88504785</v>
      </c>
      <c r="E19" s="43">
        <f t="shared" si="1"/>
        <v>275526743.67159927</v>
      </c>
      <c r="F19" s="43">
        <f t="shared" si="1"/>
        <v>283792545.98174721</v>
      </c>
      <c r="G19" s="43">
        <f t="shared" si="1"/>
        <v>292306322.36119968</v>
      </c>
    </row>
    <row r="20" spans="1:7">
      <c r="A20" s="82" t="s">
        <v>526</v>
      </c>
      <c r="B20" s="149">
        <v>51851248.807800002</v>
      </c>
      <c r="C20" s="149">
        <v>53406786.272033989</v>
      </c>
      <c r="D20" s="149">
        <v>55008989.860195018</v>
      </c>
      <c r="E20" s="150">
        <v>56659259.556000866</v>
      </c>
      <c r="F20" s="149">
        <v>58359037.342680886</v>
      </c>
      <c r="G20" s="149">
        <v>60109808.462961324</v>
      </c>
    </row>
    <row r="21" spans="1:7">
      <c r="A21" s="82" t="s">
        <v>527</v>
      </c>
      <c r="B21" s="149">
        <v>16832039.991999999</v>
      </c>
      <c r="C21" s="149">
        <v>17337001.191759996</v>
      </c>
      <c r="D21" s="149">
        <v>17857111.227512799</v>
      </c>
      <c r="E21" s="150">
        <v>18392824.564338181</v>
      </c>
      <c r="F21" s="149">
        <v>18944609.301268328</v>
      </c>
      <c r="G21" s="149">
        <v>19512947.580306374</v>
      </c>
    </row>
    <row r="22" spans="1:7">
      <c r="A22" s="82" t="s">
        <v>528</v>
      </c>
      <c r="B22" s="149">
        <v>21812066.250500001</v>
      </c>
      <c r="C22" s="149">
        <v>22466428.238014996</v>
      </c>
      <c r="D22" s="149">
        <v>23140421.08515545</v>
      </c>
      <c r="E22" s="150">
        <v>23834633.717710111</v>
      </c>
      <c r="F22" s="149">
        <v>24549672.729241416</v>
      </c>
      <c r="G22" s="149">
        <v>25286162.911118656</v>
      </c>
    </row>
    <row r="23" spans="1:7">
      <c r="A23" s="82" t="s">
        <v>529</v>
      </c>
      <c r="B23" s="149">
        <v>2949405</v>
      </c>
      <c r="C23" s="149">
        <v>3037887.15</v>
      </c>
      <c r="D23" s="149">
        <v>3129023.7644999996</v>
      </c>
      <c r="E23" s="150">
        <v>3222894.4774349998</v>
      </c>
      <c r="F23" s="149">
        <v>3319581.3117580493</v>
      </c>
      <c r="G23" s="149">
        <v>3419168.7511107908</v>
      </c>
    </row>
    <row r="24" spans="1:7">
      <c r="A24" s="82" t="s">
        <v>530</v>
      </c>
      <c r="B24" s="149">
        <v>2999875</v>
      </c>
      <c r="C24" s="149">
        <v>3089871.25</v>
      </c>
      <c r="D24" s="149">
        <v>3182567.3874999997</v>
      </c>
      <c r="E24" s="150">
        <v>3278044.4091249998</v>
      </c>
      <c r="F24" s="149">
        <v>3376385.7413987499</v>
      </c>
      <c r="G24" s="149">
        <v>3477677.3136407123</v>
      </c>
    </row>
    <row r="25" spans="1:7">
      <c r="A25" s="82" t="s">
        <v>531</v>
      </c>
      <c r="B25" s="149">
        <v>151660252.93710002</v>
      </c>
      <c r="C25" s="149">
        <v>156210060.525213</v>
      </c>
      <c r="D25" s="149">
        <v>160896362.34096941</v>
      </c>
      <c r="E25" s="150">
        <v>165723253.21119848</v>
      </c>
      <c r="F25" s="149">
        <v>170694950.80753443</v>
      </c>
      <c r="G25" s="149">
        <v>175815799.33176047</v>
      </c>
    </row>
    <row r="26" spans="1:7">
      <c r="A26" s="82" t="s">
        <v>532</v>
      </c>
      <c r="B26" s="149">
        <v>0</v>
      </c>
      <c r="C26" s="149">
        <v>0</v>
      </c>
      <c r="D26" s="149">
        <v>0</v>
      </c>
      <c r="E26" s="150">
        <v>0</v>
      </c>
      <c r="F26" s="149">
        <v>0</v>
      </c>
      <c r="G26" s="149">
        <v>0</v>
      </c>
    </row>
    <row r="27" spans="1:7">
      <c r="A27" s="82" t="s">
        <v>536</v>
      </c>
      <c r="B27" s="151">
        <v>0</v>
      </c>
      <c r="C27" s="151">
        <v>0</v>
      </c>
      <c r="D27" s="151">
        <v>0</v>
      </c>
      <c r="E27" s="152">
        <v>0</v>
      </c>
      <c r="F27" s="151">
        <v>0</v>
      </c>
      <c r="G27" s="151">
        <v>0</v>
      </c>
    </row>
    <row r="28" spans="1:7">
      <c r="A28" s="82" t="s">
        <v>534</v>
      </c>
      <c r="B28" s="142">
        <v>4041113.4124000003</v>
      </c>
      <c r="C28" s="142">
        <v>4162346.8147720001</v>
      </c>
      <c r="D28" s="142">
        <v>4287217.2192151602</v>
      </c>
      <c r="E28" s="143">
        <v>4415833.7357916152</v>
      </c>
      <c r="F28" s="142">
        <v>4548308.747865364</v>
      </c>
      <c r="G28" s="142">
        <v>4684758.0103013245</v>
      </c>
    </row>
    <row r="29" spans="1:7">
      <c r="A29" s="30"/>
      <c r="B29" s="30"/>
      <c r="C29" s="30"/>
      <c r="D29" s="30"/>
      <c r="E29" s="30"/>
      <c r="F29" s="30"/>
      <c r="G29" s="30"/>
    </row>
    <row r="30" spans="1:7">
      <c r="A30" s="42" t="s">
        <v>537</v>
      </c>
      <c r="B30" s="43">
        <f t="shared" ref="B30:G30" si="2">B8+B19</f>
        <v>449623651.92350006</v>
      </c>
      <c r="C30" s="43">
        <f t="shared" si="2"/>
        <v>463112361.48120499</v>
      </c>
      <c r="D30" s="43">
        <f t="shared" si="2"/>
        <v>477005732.32564116</v>
      </c>
      <c r="E30" s="43">
        <f t="shared" si="2"/>
        <v>491315904.29541039</v>
      </c>
      <c r="F30" s="43">
        <f t="shared" si="2"/>
        <v>506055381.42427266</v>
      </c>
      <c r="G30" s="43">
        <f t="shared" si="2"/>
        <v>521237042.86700094</v>
      </c>
    </row>
    <row r="31" spans="1:7">
      <c r="A31" s="79"/>
      <c r="B31" s="79"/>
      <c r="C31" s="79"/>
      <c r="D31" s="79"/>
      <c r="E31" s="79"/>
      <c r="F31" s="79"/>
      <c r="G31" s="79"/>
    </row>
  </sheetData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7">
    <dataValidation type="decimal" allowBlank="1" showInputMessage="1" showErrorMessage="1" sqref="B8:G30">
      <formula1>-1.79769313486231E+100</formula1>
      <formula2>1.79769313486231E+100</formula2>
    </dataValidation>
    <dataValidation allowBlank="1" showInputMessage="1" showErrorMessage="1" prompt="Año 5 (d)" sqref="G6:G7"/>
    <dataValidation allowBlank="1" showInputMessage="1" showErrorMessage="1" prompt="Año 4 (d)" sqref="F6:F7"/>
    <dataValidation allowBlank="1" showInputMessage="1" showErrorMessage="1" prompt="Año 3 (d)" sqref="E6:E7"/>
    <dataValidation allowBlank="1" showInputMessage="1" showErrorMessage="1" prompt="Año 2 (d)" sqref="D6:D7"/>
    <dataValidation allowBlank="1" showInputMessage="1" showErrorMessage="1" prompt="Año 1 (d)" sqref="C6:C7"/>
    <dataValidation type="decimal" allowBlank="1" showInputMessage="1" showErrorMessage="1" prompt="Año en Cuestión (de proyecto de presupuesto) (c)" sqref="B6">
      <formula1>#REF!</formula1>
      <formula2>#REF!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>
      <selection activeCell="B5" sqref="B5:B6"/>
    </sheetView>
  </sheetViews>
  <sheetFormatPr baseColWidth="10" defaultColWidth="0" defaultRowHeight="15" zeroHeight="1"/>
  <cols>
    <col min="1" max="1" width="88.140625" customWidth="1"/>
    <col min="2" max="7" width="20.7109375" customWidth="1"/>
    <col min="8" max="16384" width="10.85546875" hidden="1"/>
  </cols>
  <sheetData>
    <row r="1" spans="1:7" s="71" customFormat="1" ht="21">
      <c r="A1" s="196" t="s">
        <v>538</v>
      </c>
      <c r="B1" s="196"/>
      <c r="C1" s="196"/>
      <c r="D1" s="196"/>
      <c r="E1" s="196"/>
      <c r="F1" s="196"/>
      <c r="G1" s="196"/>
    </row>
    <row r="2" spans="1:7">
      <c r="A2" s="179" t="s">
        <v>629</v>
      </c>
      <c r="B2" s="180"/>
      <c r="C2" s="180"/>
      <c r="D2" s="180"/>
      <c r="E2" s="180"/>
      <c r="F2" s="180"/>
      <c r="G2" s="181"/>
    </row>
    <row r="3" spans="1:7">
      <c r="A3" s="182" t="s">
        <v>539</v>
      </c>
      <c r="B3" s="183"/>
      <c r="C3" s="183"/>
      <c r="D3" s="183"/>
      <c r="E3" s="183"/>
      <c r="F3" s="183"/>
      <c r="G3" s="184"/>
    </row>
    <row r="4" spans="1:7">
      <c r="A4" s="188" t="s">
        <v>3</v>
      </c>
      <c r="B4" s="189"/>
      <c r="C4" s="189"/>
      <c r="D4" s="189"/>
      <c r="E4" s="189"/>
      <c r="F4" s="189"/>
      <c r="G4" s="190"/>
    </row>
    <row r="5" spans="1:7">
      <c r="A5" s="213" t="s">
        <v>506</v>
      </c>
      <c r="B5" s="215" t="e">
        <f>ANIO5R</f>
        <v>#REF!</v>
      </c>
      <c r="C5" s="215" t="e">
        <f>ANIO4R</f>
        <v>#REF!</v>
      </c>
      <c r="D5" s="215" t="e">
        <f>ANIO3R</f>
        <v>#REF!</v>
      </c>
      <c r="E5" s="215" t="e">
        <f>ANIO2R</f>
        <v>#REF!</v>
      </c>
      <c r="F5" s="215" t="e">
        <f>ANIO1R</f>
        <v>#REF!</v>
      </c>
      <c r="G5" s="139" t="e">
        <f>ANIO_INFORME</f>
        <v>#REF!</v>
      </c>
    </row>
    <row r="6" spans="1:7" ht="32.25">
      <c r="A6" s="214"/>
      <c r="B6" s="216"/>
      <c r="C6" s="216"/>
      <c r="D6" s="216"/>
      <c r="E6" s="216"/>
      <c r="F6" s="216"/>
      <c r="G6" s="140" t="s">
        <v>540</v>
      </c>
    </row>
    <row r="7" spans="1:7">
      <c r="A7" s="100" t="s">
        <v>541</v>
      </c>
      <c r="B7" s="153">
        <f t="shared" ref="B7:G7" si="0">SUM(B8:B19)</f>
        <v>148844515.38</v>
      </c>
      <c r="C7" s="141">
        <f t="shared" si="0"/>
        <v>162263940.93000001</v>
      </c>
      <c r="D7" s="141">
        <f t="shared" si="0"/>
        <v>154959780.27999997</v>
      </c>
      <c r="E7" s="141">
        <f t="shared" si="0"/>
        <v>175786371.61000001</v>
      </c>
      <c r="F7" s="141">
        <f t="shared" si="0"/>
        <v>187988678.62000003</v>
      </c>
      <c r="G7" s="141">
        <f t="shared" si="0"/>
        <v>57341535.75</v>
      </c>
    </row>
    <row r="8" spans="1:7">
      <c r="A8" s="82" t="s">
        <v>542</v>
      </c>
      <c r="B8" s="154">
        <v>13298126.51</v>
      </c>
      <c r="C8" s="154">
        <v>13176918.470000001</v>
      </c>
      <c r="D8" s="155">
        <v>15001560.93</v>
      </c>
      <c r="E8" s="154">
        <v>15040551.369999999</v>
      </c>
      <c r="F8" s="154">
        <v>17418028.440000001</v>
      </c>
      <c r="G8" s="37">
        <v>13805920.880000001</v>
      </c>
    </row>
    <row r="9" spans="1:7">
      <c r="A9" s="82" t="s">
        <v>543</v>
      </c>
      <c r="B9" s="154">
        <v>0</v>
      </c>
      <c r="C9" s="154">
        <v>0</v>
      </c>
      <c r="D9" s="155">
        <v>0</v>
      </c>
      <c r="E9" s="154">
        <v>0</v>
      </c>
      <c r="F9" s="154">
        <v>0</v>
      </c>
      <c r="G9" s="37">
        <v>0</v>
      </c>
    </row>
    <row r="10" spans="1:7">
      <c r="A10" s="82" t="s">
        <v>544</v>
      </c>
      <c r="B10" s="154">
        <v>710788.17</v>
      </c>
      <c r="C10" s="154">
        <v>385542</v>
      </c>
      <c r="D10" s="155">
        <v>142005</v>
      </c>
      <c r="E10" s="154">
        <v>187717</v>
      </c>
      <c r="F10" s="154">
        <v>304400</v>
      </c>
      <c r="G10" s="37">
        <v>272170.25</v>
      </c>
    </row>
    <row r="11" spans="1:7">
      <c r="A11" s="82" t="s">
        <v>545</v>
      </c>
      <c r="B11" s="154">
        <v>10444354.550000001</v>
      </c>
      <c r="C11" s="154">
        <v>10209496.880000001</v>
      </c>
      <c r="D11" s="155">
        <v>11396868.09</v>
      </c>
      <c r="E11" s="154">
        <v>20329496.73</v>
      </c>
      <c r="F11" s="154">
        <v>23896599.329999998</v>
      </c>
      <c r="G11" s="37">
        <v>5125255.6399999997</v>
      </c>
    </row>
    <row r="12" spans="1:7">
      <c r="A12" s="82" t="s">
        <v>546</v>
      </c>
      <c r="B12" s="154">
        <v>7611388.4400000004</v>
      </c>
      <c r="C12" s="154">
        <v>2843167.21</v>
      </c>
      <c r="D12" s="155">
        <v>2187891.75</v>
      </c>
      <c r="E12" s="154">
        <v>2751825.94</v>
      </c>
      <c r="F12" s="154">
        <v>3596206.82</v>
      </c>
      <c r="G12" s="37">
        <v>976759.6</v>
      </c>
    </row>
    <row r="13" spans="1:7">
      <c r="A13" s="146" t="s">
        <v>547</v>
      </c>
      <c r="B13" s="154">
        <v>6300906.7699999996</v>
      </c>
      <c r="C13" s="154">
        <v>6199653.6699999999</v>
      </c>
      <c r="D13" s="155">
        <v>2103030.7200000002</v>
      </c>
      <c r="E13" s="154">
        <v>2643629.5099999998</v>
      </c>
      <c r="F13" s="154">
        <v>1771060.76</v>
      </c>
      <c r="G13" s="37">
        <v>463571.99</v>
      </c>
    </row>
    <row r="14" spans="1:7">
      <c r="A14" s="82" t="s">
        <v>548</v>
      </c>
      <c r="B14" s="154">
        <v>0</v>
      </c>
      <c r="C14" s="154">
        <v>0</v>
      </c>
      <c r="D14" s="155">
        <v>0</v>
      </c>
      <c r="E14" s="154">
        <v>0</v>
      </c>
      <c r="F14" s="154">
        <v>0</v>
      </c>
      <c r="G14" s="37">
        <v>0</v>
      </c>
    </row>
    <row r="15" spans="1:7">
      <c r="A15" s="82" t="s">
        <v>549</v>
      </c>
      <c r="B15" s="154">
        <v>96549159.440000013</v>
      </c>
      <c r="C15" s="154">
        <v>103430419.00999999</v>
      </c>
      <c r="D15" s="155">
        <v>108760072.39999999</v>
      </c>
      <c r="E15" s="154">
        <v>123127586.30000001</v>
      </c>
      <c r="F15" s="154">
        <v>133446883.19000001</v>
      </c>
      <c r="G15" s="34">
        <v>35735377.740000002</v>
      </c>
    </row>
    <row r="16" spans="1:7">
      <c r="A16" s="82" t="s">
        <v>550</v>
      </c>
      <c r="B16" s="154">
        <v>1919002.4800000002</v>
      </c>
      <c r="C16" s="154">
        <v>1760768.35</v>
      </c>
      <c r="D16" s="155">
        <v>1951515.7599999998</v>
      </c>
      <c r="E16" s="154">
        <v>2406384.89</v>
      </c>
      <c r="F16" s="154">
        <v>2715618.94</v>
      </c>
      <c r="G16" s="154">
        <v>962479.65</v>
      </c>
    </row>
    <row r="17" spans="1:7">
      <c r="A17" s="82" t="s">
        <v>551</v>
      </c>
      <c r="B17" s="154">
        <v>0</v>
      </c>
      <c r="C17" s="154">
        <v>0</v>
      </c>
      <c r="D17" s="155">
        <v>0</v>
      </c>
      <c r="E17" s="154">
        <v>0</v>
      </c>
      <c r="F17" s="154">
        <v>0</v>
      </c>
      <c r="G17" s="154">
        <v>0</v>
      </c>
    </row>
    <row r="18" spans="1:7">
      <c r="A18" s="82" t="s">
        <v>552</v>
      </c>
      <c r="B18" s="154">
        <v>736278</v>
      </c>
      <c r="C18" s="154">
        <v>11054934.279999999</v>
      </c>
      <c r="D18" s="155">
        <v>3936848.66</v>
      </c>
      <c r="E18" s="154">
        <v>2953816.31</v>
      </c>
      <c r="F18" s="154">
        <v>2739878.15</v>
      </c>
      <c r="G18" s="154">
        <v>0</v>
      </c>
    </row>
    <row r="19" spans="1:7">
      <c r="A19" s="82" t="s">
        <v>553</v>
      </c>
      <c r="B19" s="154">
        <v>11274511.02</v>
      </c>
      <c r="C19" s="154">
        <v>13203041.059999999</v>
      </c>
      <c r="D19" s="155">
        <v>9479986.9699999988</v>
      </c>
      <c r="E19" s="154">
        <v>6345363.5600000005</v>
      </c>
      <c r="F19" s="33">
        <v>2100002.9900000002</v>
      </c>
      <c r="G19" s="154">
        <v>0</v>
      </c>
    </row>
    <row r="20" spans="1:7">
      <c r="A20" s="30"/>
      <c r="B20" s="30"/>
      <c r="C20" s="30"/>
      <c r="D20" s="30"/>
      <c r="E20" s="30"/>
      <c r="F20" s="30"/>
      <c r="G20" s="30"/>
    </row>
    <row r="21" spans="1:7">
      <c r="A21" s="42" t="s">
        <v>554</v>
      </c>
      <c r="B21" s="43">
        <f t="shared" ref="B21:G21" si="1">SUM(B22:B26)</f>
        <v>198798029.09999996</v>
      </c>
      <c r="C21" s="43">
        <f t="shared" si="1"/>
        <v>233602705.50999999</v>
      </c>
      <c r="D21" s="43">
        <f t="shared" si="1"/>
        <v>232956323.80000001</v>
      </c>
      <c r="E21" s="43">
        <f t="shared" si="1"/>
        <v>258165757.25999999</v>
      </c>
      <c r="F21" s="43">
        <f t="shared" si="1"/>
        <v>233008331.42000002</v>
      </c>
      <c r="G21" s="43">
        <f t="shared" si="1"/>
        <v>50701583.170000002</v>
      </c>
    </row>
    <row r="22" spans="1:7">
      <c r="A22" s="82" t="s">
        <v>555</v>
      </c>
      <c r="B22" s="154">
        <v>125559365</v>
      </c>
      <c r="C22" s="154">
        <v>133443569</v>
      </c>
      <c r="D22" s="155">
        <v>134469574</v>
      </c>
      <c r="E22" s="154">
        <v>139626306</v>
      </c>
      <c r="F22" s="154">
        <v>151367358</v>
      </c>
      <c r="G22" s="155">
        <v>43300110</v>
      </c>
    </row>
    <row r="23" spans="1:7">
      <c r="A23" s="82" t="s">
        <v>556</v>
      </c>
      <c r="B23" s="154">
        <v>59685224.709999993</v>
      </c>
      <c r="C23" s="154">
        <v>73192823.769999996</v>
      </c>
      <c r="D23" s="155">
        <v>33020786.050000001</v>
      </c>
      <c r="E23" s="154">
        <v>72269216.909999996</v>
      </c>
      <c r="F23" s="154">
        <v>77474589.400000006</v>
      </c>
      <c r="G23" s="155">
        <v>7401473.1699999999</v>
      </c>
    </row>
    <row r="24" spans="1:7">
      <c r="A24" s="82" t="s">
        <v>557</v>
      </c>
      <c r="B24" s="154">
        <v>0</v>
      </c>
      <c r="C24" s="154">
        <v>0</v>
      </c>
      <c r="D24" s="155">
        <v>0</v>
      </c>
      <c r="E24" s="154">
        <v>0</v>
      </c>
      <c r="F24" s="154">
        <v>0</v>
      </c>
      <c r="G24" s="155">
        <v>0</v>
      </c>
    </row>
    <row r="25" spans="1:7">
      <c r="A25" s="82" t="s">
        <v>558</v>
      </c>
      <c r="B25" s="154">
        <v>0</v>
      </c>
      <c r="C25" s="154">
        <v>0</v>
      </c>
      <c r="D25" s="155">
        <v>0</v>
      </c>
      <c r="E25" s="154">
        <v>0</v>
      </c>
      <c r="F25" s="154">
        <v>0</v>
      </c>
      <c r="G25" s="155">
        <v>0</v>
      </c>
    </row>
    <row r="26" spans="1:7">
      <c r="A26" s="82" t="s">
        <v>559</v>
      </c>
      <c r="B26" s="154">
        <v>13553439.390000001</v>
      </c>
      <c r="C26" s="154">
        <v>26966312.739999998</v>
      </c>
      <c r="D26" s="155">
        <v>65465963.75</v>
      </c>
      <c r="E26" s="154">
        <v>46270234.350000001</v>
      </c>
      <c r="F26" s="154">
        <v>4166384.02</v>
      </c>
      <c r="G26" s="155">
        <v>0</v>
      </c>
    </row>
    <row r="27" spans="1:7">
      <c r="A27" s="30"/>
      <c r="B27" s="30"/>
      <c r="C27" s="30"/>
      <c r="D27" s="30"/>
      <c r="E27" s="30"/>
      <c r="F27" s="30"/>
      <c r="G27" s="30"/>
    </row>
    <row r="28" spans="1:7">
      <c r="A28" s="42" t="s">
        <v>560</v>
      </c>
      <c r="B28" s="43">
        <f t="shared" ref="B28:G28" si="2">B29</f>
        <v>0</v>
      </c>
      <c r="C28" s="43">
        <f t="shared" si="2"/>
        <v>0</v>
      </c>
      <c r="D28" s="43">
        <f t="shared" si="2"/>
        <v>0</v>
      </c>
      <c r="E28" s="43">
        <f t="shared" si="2"/>
        <v>0</v>
      </c>
      <c r="F28" s="43">
        <f t="shared" si="2"/>
        <v>76887958.480000004</v>
      </c>
      <c r="G28" s="44">
        <f t="shared" si="2"/>
        <v>89321095.140000001</v>
      </c>
    </row>
    <row r="29" spans="1:7">
      <c r="A29" s="82" t="s">
        <v>374</v>
      </c>
      <c r="B29" s="154">
        <v>0</v>
      </c>
      <c r="C29" s="154">
        <v>0</v>
      </c>
      <c r="D29" s="155">
        <v>0</v>
      </c>
      <c r="E29" s="154">
        <v>0</v>
      </c>
      <c r="F29" s="156">
        <v>76887958.480000004</v>
      </c>
      <c r="G29" s="34">
        <v>89321095.140000001</v>
      </c>
    </row>
    <row r="30" spans="1:7">
      <c r="A30" s="30"/>
      <c r="B30" s="30"/>
      <c r="C30" s="30"/>
      <c r="D30" s="30"/>
      <c r="E30" s="30"/>
      <c r="F30" s="30"/>
      <c r="G30" s="30"/>
    </row>
    <row r="31" spans="1:7">
      <c r="A31" s="42" t="s">
        <v>561</v>
      </c>
      <c r="B31" s="43">
        <f t="shared" ref="B31:G31" si="3">B7+B21+B28</f>
        <v>347642544.47999996</v>
      </c>
      <c r="C31" s="43">
        <f t="shared" si="3"/>
        <v>395866646.44</v>
      </c>
      <c r="D31" s="43">
        <f t="shared" si="3"/>
        <v>387916104.07999998</v>
      </c>
      <c r="E31" s="43">
        <f t="shared" si="3"/>
        <v>433952128.87</v>
      </c>
      <c r="F31" s="43">
        <f t="shared" si="3"/>
        <v>497884968.5200001</v>
      </c>
      <c r="G31" s="43">
        <f t="shared" si="3"/>
        <v>197364214.06</v>
      </c>
    </row>
    <row r="32" spans="1:7">
      <c r="A32" s="30"/>
      <c r="B32" s="30"/>
      <c r="C32" s="30"/>
      <c r="D32" s="30"/>
      <c r="E32" s="30"/>
      <c r="F32" s="30"/>
      <c r="G32" s="30"/>
    </row>
    <row r="33" spans="1:7">
      <c r="A33" s="42" t="s">
        <v>376</v>
      </c>
      <c r="B33" s="30"/>
      <c r="C33" s="30"/>
      <c r="D33" s="30"/>
      <c r="E33" s="30"/>
      <c r="F33" s="30"/>
      <c r="G33" s="30"/>
    </row>
    <row r="34" spans="1:7" ht="30">
      <c r="A34" s="147" t="s">
        <v>520</v>
      </c>
      <c r="B34" s="154">
        <v>0</v>
      </c>
      <c r="C34" s="154">
        <v>0</v>
      </c>
      <c r="D34" s="155">
        <v>0</v>
      </c>
      <c r="E34" s="154">
        <v>0</v>
      </c>
      <c r="F34" s="154">
        <v>8024829.0700000003</v>
      </c>
      <c r="G34" s="33">
        <v>7338943.3600000003</v>
      </c>
    </row>
    <row r="35" spans="1:7" ht="30">
      <c r="A35" s="147" t="s">
        <v>562</v>
      </c>
      <c r="B35" s="154">
        <v>0</v>
      </c>
      <c r="C35" s="154">
        <v>0</v>
      </c>
      <c r="D35" s="155">
        <v>0</v>
      </c>
      <c r="E35" s="154">
        <v>0</v>
      </c>
      <c r="F35" s="156">
        <v>68863129.409999996</v>
      </c>
      <c r="G35" s="33">
        <v>81982151.780000001</v>
      </c>
    </row>
    <row r="36" spans="1:7">
      <c r="A36" s="42" t="s">
        <v>563</v>
      </c>
      <c r="B36" s="43">
        <f t="shared" ref="B36:G36" si="4">B34+B35</f>
        <v>0</v>
      </c>
      <c r="C36" s="43">
        <f t="shared" si="4"/>
        <v>0</v>
      </c>
      <c r="D36" s="43">
        <f t="shared" si="4"/>
        <v>0</v>
      </c>
      <c r="E36" s="43">
        <f t="shared" si="4"/>
        <v>0</v>
      </c>
      <c r="F36" s="43">
        <f t="shared" si="4"/>
        <v>76887958.479999989</v>
      </c>
      <c r="G36" s="43">
        <f t="shared" si="4"/>
        <v>89321095.140000001</v>
      </c>
    </row>
    <row r="37" spans="1:7">
      <c r="A37" s="17"/>
      <c r="B37" s="17"/>
      <c r="C37" s="17"/>
      <c r="D37" s="17"/>
      <c r="E37" s="17"/>
      <c r="F37" s="17"/>
      <c r="G37" s="17"/>
    </row>
    <row r="38" spans="1:7">
      <c r="A38" s="20"/>
    </row>
    <row r="39" spans="1:7" ht="15" customHeight="1">
      <c r="A39" s="212" t="s">
        <v>564</v>
      </c>
      <c r="B39" s="212"/>
      <c r="C39" s="212"/>
      <c r="D39" s="212"/>
      <c r="E39" s="212"/>
      <c r="F39" s="212"/>
      <c r="G39" s="212"/>
    </row>
    <row r="40" spans="1:7" ht="15" customHeight="1">
      <c r="A40" s="212" t="s">
        <v>565</v>
      </c>
      <c r="B40" s="212"/>
      <c r="C40" s="212"/>
      <c r="D40" s="212"/>
      <c r="E40" s="212"/>
      <c r="F40" s="212"/>
      <c r="G40" s="212"/>
    </row>
    <row r="41" spans="1:7" hidden="1"/>
    <row r="42" spans="1:7" hidden="1"/>
    <row r="43" spans="1:7" hidden="1"/>
    <row r="44" spans="1:7" hidden="1"/>
    <row r="45" spans="1:7" hidden="1"/>
    <row r="46" spans="1:7" hidden="1"/>
    <row r="47" spans="1:7" hidden="1"/>
  </sheetData>
  <mergeCells count="12">
    <mergeCell ref="A39:G39"/>
    <mergeCell ref="A40:G40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</mergeCells>
  <dataValidations count="7">
    <dataValidation type="decimal" allowBlank="1" showInputMessage="1" showErrorMessage="1" sqref="B7:G36">
      <formula1>-1.79769313486231E+100</formula1>
      <formula2>1.79769313486231E+100</formula2>
    </dataValidation>
    <dataValidation allowBlank="1" showInputMessage="1" showErrorMessage="1" prompt="Año 5 (c)" sqref="B5:B6"/>
    <dataValidation allowBlank="1" showInputMessage="1" showErrorMessage="1" prompt="Año 4 (c)" sqref="C5:C6"/>
    <dataValidation allowBlank="1" showInputMessage="1" showErrorMessage="1" prompt="Año 3 (c)" sqref="D5:D6"/>
    <dataValidation allowBlank="1" showInputMessage="1" showErrorMessage="1" prompt="Año 2 (c)" sqref="E5:E6"/>
    <dataValidation allowBlank="1" showInputMessage="1" showErrorMessage="1" prompt="Año 1 (c)" sqref="F5:F6"/>
    <dataValidation type="decimal" allowBlank="1" showInputMessage="1" showErrorMessage="1" prompt="Año del Ejercicio Vigente (d)" sqref="G5">
      <formula1>#REF!</formula1>
      <formula2>#REF!</formula2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A2" sqref="A2:G2"/>
    </sheetView>
  </sheetViews>
  <sheetFormatPr baseColWidth="10" defaultColWidth="0" defaultRowHeight="15" customHeight="1" zeroHeight="1"/>
  <cols>
    <col min="1" max="1" width="69.42578125" customWidth="1"/>
    <col min="2" max="7" width="20.7109375" customWidth="1"/>
    <col min="8" max="16384" width="10.85546875" hidden="1"/>
  </cols>
  <sheetData>
    <row r="1" spans="1:7" s="71" customFormat="1" ht="21">
      <c r="A1" s="196" t="s">
        <v>566</v>
      </c>
      <c r="B1" s="196"/>
      <c r="C1" s="196"/>
      <c r="D1" s="196"/>
      <c r="E1" s="196"/>
      <c r="F1" s="196"/>
      <c r="G1" s="196"/>
    </row>
    <row r="2" spans="1:7">
      <c r="A2" s="179" t="s">
        <v>629</v>
      </c>
      <c r="B2" s="180"/>
      <c r="C2" s="180"/>
      <c r="D2" s="180"/>
      <c r="E2" s="180"/>
      <c r="F2" s="180"/>
      <c r="G2" s="181"/>
    </row>
    <row r="3" spans="1:7">
      <c r="A3" s="182" t="s">
        <v>567</v>
      </c>
      <c r="B3" s="183"/>
      <c r="C3" s="183"/>
      <c r="D3" s="183"/>
      <c r="E3" s="183"/>
      <c r="F3" s="183"/>
      <c r="G3" s="184"/>
    </row>
    <row r="4" spans="1:7">
      <c r="A4" s="188" t="s">
        <v>3</v>
      </c>
      <c r="B4" s="189"/>
      <c r="C4" s="189"/>
      <c r="D4" s="189"/>
      <c r="E4" s="189"/>
      <c r="F4" s="189"/>
      <c r="G4" s="190"/>
    </row>
    <row r="5" spans="1:7">
      <c r="A5" s="217" t="s">
        <v>524</v>
      </c>
      <c r="B5" s="215" t="e">
        <f>ANIO5R</f>
        <v>#REF!</v>
      </c>
      <c r="C5" s="215" t="e">
        <f>ANIO4R</f>
        <v>#REF!</v>
      </c>
      <c r="D5" s="215" t="e">
        <f>ANIO3R</f>
        <v>#REF!</v>
      </c>
      <c r="E5" s="215" t="e">
        <f>ANIO2R</f>
        <v>#REF!</v>
      </c>
      <c r="F5" s="215" t="e">
        <f>ANIO1R</f>
        <v>#REF!</v>
      </c>
      <c r="G5" s="139" t="e">
        <f>ANIO_INFORME</f>
        <v>#REF!</v>
      </c>
    </row>
    <row r="6" spans="1:7" ht="32.25">
      <c r="A6" s="218"/>
      <c r="B6" s="216"/>
      <c r="C6" s="216"/>
      <c r="D6" s="216"/>
      <c r="E6" s="216"/>
      <c r="F6" s="216"/>
      <c r="G6" s="140" t="s">
        <v>568</v>
      </c>
    </row>
    <row r="7" spans="1:7">
      <c r="A7" s="100" t="s">
        <v>569</v>
      </c>
      <c r="B7" s="141">
        <f t="shared" ref="B7:G7" si="0">SUM(B8:B16)</f>
        <v>135726606.34999999</v>
      </c>
      <c r="C7" s="141">
        <f t="shared" si="0"/>
        <v>147527372.34</v>
      </c>
      <c r="D7" s="141">
        <f t="shared" si="0"/>
        <v>146748803.25</v>
      </c>
      <c r="E7" s="141">
        <f t="shared" si="0"/>
        <v>162402253.96000004</v>
      </c>
      <c r="F7" s="141">
        <f t="shared" si="0"/>
        <v>163729064.36000004</v>
      </c>
      <c r="G7" s="141">
        <f t="shared" si="0"/>
        <v>42737563.199999996</v>
      </c>
    </row>
    <row r="8" spans="1:7">
      <c r="A8" s="82" t="s">
        <v>526</v>
      </c>
      <c r="B8" s="154">
        <v>72036813.400000006</v>
      </c>
      <c r="C8" s="155">
        <v>76721014.570000008</v>
      </c>
      <c r="D8" s="154">
        <v>80808172.530000001</v>
      </c>
      <c r="E8" s="155">
        <v>89710894.700000018</v>
      </c>
      <c r="F8" s="154">
        <v>89376635.75</v>
      </c>
      <c r="G8" s="33">
        <v>19203804.59</v>
      </c>
    </row>
    <row r="9" spans="1:7">
      <c r="A9" s="82" t="s">
        <v>527</v>
      </c>
      <c r="B9" s="154">
        <v>10175691.789999999</v>
      </c>
      <c r="C9" s="155">
        <v>9798181.4199999999</v>
      </c>
      <c r="D9" s="154">
        <v>8207350.9600000009</v>
      </c>
      <c r="E9" s="155">
        <v>8935562.6699999999</v>
      </c>
      <c r="F9" s="154">
        <v>6026429.1800000006</v>
      </c>
      <c r="G9" s="33">
        <v>1482579.83</v>
      </c>
    </row>
    <row r="10" spans="1:7">
      <c r="A10" s="82" t="s">
        <v>528</v>
      </c>
      <c r="B10" s="154">
        <v>19317563.18</v>
      </c>
      <c r="C10" s="155">
        <v>16382309.969999999</v>
      </c>
      <c r="D10" s="154">
        <v>13395602.420000002</v>
      </c>
      <c r="E10" s="155">
        <v>21371679.32</v>
      </c>
      <c r="F10" s="154">
        <v>22731103.5</v>
      </c>
      <c r="G10" s="33">
        <v>3580261.4099999997</v>
      </c>
    </row>
    <row r="11" spans="1:7">
      <c r="A11" s="82" t="s">
        <v>529</v>
      </c>
      <c r="B11" s="154">
        <v>23891831.32</v>
      </c>
      <c r="C11" s="155">
        <v>28283852.93</v>
      </c>
      <c r="D11" s="154">
        <v>23134949.119999997</v>
      </c>
      <c r="E11" s="155">
        <v>24090177.52</v>
      </c>
      <c r="F11" s="154">
        <v>30389356.489999998</v>
      </c>
      <c r="G11" s="33">
        <v>11305598.75</v>
      </c>
    </row>
    <row r="12" spans="1:7">
      <c r="A12" s="82" t="s">
        <v>530</v>
      </c>
      <c r="B12" s="154">
        <v>6267958.6799999997</v>
      </c>
      <c r="C12" s="155">
        <v>10212638.309999999</v>
      </c>
      <c r="D12" s="154">
        <v>1072223.52</v>
      </c>
      <c r="E12" s="155">
        <v>5036895.2299999995</v>
      </c>
      <c r="F12" s="154">
        <v>2325056.0799999996</v>
      </c>
      <c r="G12" s="33">
        <v>56574.51</v>
      </c>
    </row>
    <row r="13" spans="1:7">
      <c r="A13" s="82" t="s">
        <v>531</v>
      </c>
      <c r="B13" s="83">
        <v>4036747.9799999995</v>
      </c>
      <c r="C13" s="157">
        <v>6129375.1399999997</v>
      </c>
      <c r="D13" s="83">
        <v>20130504.699999999</v>
      </c>
      <c r="E13" s="157">
        <v>13257044.52</v>
      </c>
      <c r="F13" s="83">
        <v>12880483.360000001</v>
      </c>
      <c r="G13" s="33">
        <v>7108744.1100000003</v>
      </c>
    </row>
    <row r="14" spans="1:7">
      <c r="A14" s="82" t="s">
        <v>532</v>
      </c>
      <c r="B14" s="83">
        <v>0</v>
      </c>
      <c r="C14" s="157">
        <v>0</v>
      </c>
      <c r="D14" s="83">
        <v>0</v>
      </c>
      <c r="E14" s="157">
        <v>0</v>
      </c>
      <c r="F14" s="83">
        <v>0</v>
      </c>
      <c r="G14" s="83">
        <v>0</v>
      </c>
    </row>
    <row r="15" spans="1:7">
      <c r="A15" s="82" t="s">
        <v>533</v>
      </c>
      <c r="B15" s="154">
        <v>0</v>
      </c>
      <c r="C15" s="155">
        <v>0</v>
      </c>
      <c r="D15" s="154">
        <v>0</v>
      </c>
      <c r="E15" s="155">
        <v>0</v>
      </c>
      <c r="F15" s="154">
        <v>0</v>
      </c>
      <c r="G15" s="154">
        <v>0</v>
      </c>
    </row>
    <row r="16" spans="1:7">
      <c r="A16" s="82" t="s">
        <v>534</v>
      </c>
      <c r="B16" s="154">
        <v>0</v>
      </c>
      <c r="C16" s="155">
        <v>0</v>
      </c>
      <c r="D16" s="154">
        <v>0</v>
      </c>
      <c r="E16" s="155">
        <v>0</v>
      </c>
      <c r="F16" s="154">
        <v>0</v>
      </c>
      <c r="G16" s="154">
        <v>0</v>
      </c>
    </row>
    <row r="17" spans="1:7">
      <c r="A17" s="30"/>
      <c r="B17" s="30"/>
      <c r="C17" s="30"/>
      <c r="D17" s="30"/>
      <c r="E17" s="30"/>
      <c r="F17" s="30"/>
      <c r="G17" s="30"/>
    </row>
    <row r="18" spans="1:7">
      <c r="A18" s="42" t="s">
        <v>570</v>
      </c>
      <c r="B18" s="43">
        <f t="shared" ref="B18:G18" si="1">SUM(B19:B27)</f>
        <v>144158495.59999996</v>
      </c>
      <c r="C18" s="43">
        <f t="shared" si="1"/>
        <v>147525235.77000001</v>
      </c>
      <c r="D18" s="43">
        <f t="shared" si="1"/>
        <v>184542147.68000001</v>
      </c>
      <c r="E18" s="43">
        <f t="shared" si="1"/>
        <v>169055573.24000004</v>
      </c>
      <c r="F18" s="43">
        <f t="shared" si="1"/>
        <v>179716442.11000001</v>
      </c>
      <c r="G18" s="43">
        <f t="shared" si="1"/>
        <v>97069849.340000004</v>
      </c>
    </row>
    <row r="19" spans="1:7">
      <c r="A19" s="82" t="s">
        <v>526</v>
      </c>
      <c r="B19" s="158">
        <v>43637313.699999996</v>
      </c>
      <c r="C19" s="159">
        <v>41970154.240000002</v>
      </c>
      <c r="D19" s="158">
        <v>39379225.43</v>
      </c>
      <c r="E19" s="159">
        <v>43231190.349999994</v>
      </c>
      <c r="F19" s="160">
        <v>41577663.219999999</v>
      </c>
      <c r="G19" s="5">
        <v>8982782.8499999996</v>
      </c>
    </row>
    <row r="20" spans="1:7">
      <c r="A20" s="82" t="s">
        <v>527</v>
      </c>
      <c r="B20" s="158">
        <v>22233667.020000003</v>
      </c>
      <c r="C20" s="159">
        <v>19313170.400000002</v>
      </c>
      <c r="D20" s="158">
        <v>16558980.029999997</v>
      </c>
      <c r="E20" s="159">
        <v>16484195.070000002</v>
      </c>
      <c r="F20" s="160">
        <v>17770863.050000001</v>
      </c>
      <c r="G20" s="5">
        <v>3476256.91</v>
      </c>
    </row>
    <row r="21" spans="1:7">
      <c r="A21" s="82" t="s">
        <v>528</v>
      </c>
      <c r="B21" s="158">
        <v>16341359.289999999</v>
      </c>
      <c r="C21" s="159">
        <v>22956747.800000001</v>
      </c>
      <c r="D21" s="158">
        <v>18282365.699999999</v>
      </c>
      <c r="E21" s="159">
        <v>19829278.929999996</v>
      </c>
      <c r="F21" s="160">
        <v>22855451.009999998</v>
      </c>
      <c r="G21" s="5">
        <v>3280914.79</v>
      </c>
    </row>
    <row r="22" spans="1:7">
      <c r="A22" s="82" t="s">
        <v>529</v>
      </c>
      <c r="B22" s="158">
        <v>312580.06999999995</v>
      </c>
      <c r="C22" s="159">
        <v>278920</v>
      </c>
      <c r="D22" s="158">
        <v>804552.97</v>
      </c>
      <c r="E22" s="159">
        <v>7031.9000000000005</v>
      </c>
      <c r="F22" s="160">
        <v>2813500</v>
      </c>
      <c r="G22" s="5">
        <v>0</v>
      </c>
    </row>
    <row r="23" spans="1:7">
      <c r="A23" s="82" t="s">
        <v>530</v>
      </c>
      <c r="B23" s="158">
        <v>6927781.9700000007</v>
      </c>
      <c r="C23" s="159">
        <v>2989047.44</v>
      </c>
      <c r="D23" s="158">
        <v>4365269.46</v>
      </c>
      <c r="E23" s="159">
        <v>2549005.4500000002</v>
      </c>
      <c r="F23" s="160">
        <v>9147415.4500000011</v>
      </c>
      <c r="G23" s="5">
        <v>89666.22</v>
      </c>
    </row>
    <row r="24" spans="1:7">
      <c r="A24" s="82" t="s">
        <v>531</v>
      </c>
      <c r="B24" s="158">
        <v>50994365.449999996</v>
      </c>
      <c r="C24" s="159">
        <v>58225462.239999995</v>
      </c>
      <c r="D24" s="158">
        <v>103610504.84</v>
      </c>
      <c r="E24" s="159">
        <v>85012049.140000015</v>
      </c>
      <c r="F24" s="160">
        <v>81950153.140000001</v>
      </c>
      <c r="G24" s="5">
        <f>81332574.97-784904.71</f>
        <v>80547670.260000005</v>
      </c>
    </row>
    <row r="25" spans="1:7">
      <c r="A25" s="82" t="s">
        <v>532</v>
      </c>
      <c r="B25" s="158">
        <v>0</v>
      </c>
      <c r="C25" s="159">
        <v>0</v>
      </c>
      <c r="D25" s="158">
        <v>0</v>
      </c>
      <c r="E25" s="159">
        <v>0</v>
      </c>
      <c r="F25" s="160">
        <v>0</v>
      </c>
      <c r="G25" s="6">
        <v>0</v>
      </c>
    </row>
    <row r="26" spans="1:7">
      <c r="A26" s="82" t="s">
        <v>536</v>
      </c>
      <c r="B26" s="151">
        <v>0</v>
      </c>
      <c r="C26" s="152">
        <v>0</v>
      </c>
      <c r="D26" s="151">
        <v>0</v>
      </c>
      <c r="E26" s="161">
        <v>0</v>
      </c>
      <c r="F26" s="160">
        <v>0</v>
      </c>
      <c r="G26" s="6">
        <v>0</v>
      </c>
    </row>
    <row r="27" spans="1:7">
      <c r="A27" s="82" t="s">
        <v>534</v>
      </c>
      <c r="B27" s="158">
        <v>3711428.1</v>
      </c>
      <c r="C27" s="159">
        <v>1791733.65</v>
      </c>
      <c r="D27" s="158">
        <v>1541249.25</v>
      </c>
      <c r="E27" s="159">
        <v>1942822.4</v>
      </c>
      <c r="F27" s="160">
        <v>3601396.2399999998</v>
      </c>
      <c r="G27" s="5">
        <v>692558.31</v>
      </c>
    </row>
    <row r="28" spans="1:7">
      <c r="A28" s="30"/>
      <c r="B28" s="30"/>
      <c r="C28" s="30"/>
      <c r="D28" s="30"/>
      <c r="E28" s="30"/>
      <c r="F28" s="30"/>
      <c r="G28" s="30"/>
    </row>
    <row r="29" spans="1:7">
      <c r="A29" s="42" t="s">
        <v>571</v>
      </c>
      <c r="B29" s="33">
        <f t="shared" ref="B29:G29" si="2">B7+B18</f>
        <v>279885101.94999993</v>
      </c>
      <c r="C29" s="33">
        <f t="shared" si="2"/>
        <v>295052608.11000001</v>
      </c>
      <c r="D29" s="33">
        <f t="shared" si="2"/>
        <v>331290950.93000001</v>
      </c>
      <c r="E29" s="33">
        <f t="shared" si="2"/>
        <v>331457827.20000005</v>
      </c>
      <c r="F29" s="33">
        <f t="shared" si="2"/>
        <v>343445506.47000003</v>
      </c>
      <c r="G29" s="33">
        <f t="shared" si="2"/>
        <v>139807412.53999999</v>
      </c>
    </row>
    <row r="30" spans="1:7">
      <c r="A30" s="79"/>
      <c r="B30" s="79"/>
      <c r="C30" s="79"/>
      <c r="D30" s="79"/>
      <c r="E30" s="79"/>
      <c r="F30" s="79"/>
      <c r="G30" s="79"/>
    </row>
    <row r="31" spans="1:7">
      <c r="A31" s="20"/>
    </row>
    <row r="32" spans="1:7">
      <c r="A32" s="212" t="s">
        <v>564</v>
      </c>
      <c r="B32" s="212"/>
      <c r="C32" s="212"/>
      <c r="D32" s="212"/>
      <c r="E32" s="212"/>
      <c r="F32" s="212"/>
      <c r="G32" s="212"/>
    </row>
    <row r="33" spans="1:7">
      <c r="A33" s="212" t="s">
        <v>565</v>
      </c>
      <c r="B33" s="212"/>
      <c r="C33" s="212"/>
      <c r="D33" s="212"/>
      <c r="E33" s="212"/>
      <c r="F33" s="212"/>
      <c r="G33" s="212"/>
    </row>
  </sheetData>
  <mergeCells count="12">
    <mergeCell ref="A32:G32"/>
    <mergeCell ref="A33:G33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</mergeCells>
  <dataValidations count="7">
    <dataValidation type="decimal" allowBlank="1" showInputMessage="1" showErrorMessage="1" sqref="B7:G29">
      <formula1>-1.79769313486231E+100</formula1>
      <formula2>1.79769313486231E+100</formula2>
    </dataValidation>
    <dataValidation allowBlank="1" showInputMessage="1" showErrorMessage="1" prompt="Año 5 (c)" sqref="B5:B6"/>
    <dataValidation allowBlank="1" showInputMessage="1" showErrorMessage="1" prompt="Año 4 (c)" sqref="C5:C6"/>
    <dataValidation allowBlank="1" showInputMessage="1" showErrorMessage="1" prompt="Año 3 (c)" sqref="D5:D6"/>
    <dataValidation allowBlank="1" showInputMessage="1" showErrorMessage="1" prompt="Año 2 (c)" sqref="E5:E6"/>
    <dataValidation allowBlank="1" showInputMessage="1" showErrorMessage="1" prompt="Año 1 (c)" sqref="F5:F6"/>
    <dataValidation type="decimal" allowBlank="1" showInputMessage="1" showErrorMessage="1" prompt="Año del Ejercicio Vigente (d)" sqref="G5">
      <formula1>#REF!</formula1>
      <formula2>#REF!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67"/>
  <sheetViews>
    <sheetView workbookViewId="0">
      <selection activeCell="A2" sqref="A2:F2"/>
    </sheetView>
  </sheetViews>
  <sheetFormatPr baseColWidth="10" defaultColWidth="10.85546875" defaultRowHeight="15" zeroHeight="1"/>
  <cols>
    <col min="1" max="1" width="72.140625" style="56" customWidth="1"/>
    <col min="2" max="6" width="20.7109375" customWidth="1"/>
    <col min="7" max="7" width="0" hidden="1" customWidth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71" customFormat="1" ht="34.5" customHeight="1">
      <c r="A1" s="178" t="s">
        <v>572</v>
      </c>
      <c r="B1" s="178"/>
      <c r="C1" s="178"/>
      <c r="D1" s="178"/>
      <c r="E1" s="178"/>
      <c r="F1" s="178"/>
      <c r="G1" s="70"/>
    </row>
    <row r="2" spans="1:7">
      <c r="A2" s="179" t="s">
        <v>629</v>
      </c>
      <c r="B2" s="180"/>
      <c r="C2" s="180"/>
      <c r="D2" s="180"/>
      <c r="E2" s="180"/>
      <c r="F2" s="181"/>
    </row>
    <row r="3" spans="1:7">
      <c r="A3" s="188" t="s">
        <v>573</v>
      </c>
      <c r="B3" s="189"/>
      <c r="C3" s="189"/>
      <c r="D3" s="189"/>
      <c r="E3" s="189"/>
      <c r="F3" s="190"/>
    </row>
    <row r="4" spans="1:7" ht="30">
      <c r="A4" s="162"/>
      <c r="B4" s="162" t="s">
        <v>574</v>
      </c>
      <c r="C4" s="162" t="s">
        <v>575</v>
      </c>
      <c r="D4" s="162" t="s">
        <v>576</v>
      </c>
      <c r="E4" s="162" t="s">
        <v>577</v>
      </c>
      <c r="F4" s="162" t="s">
        <v>578</v>
      </c>
    </row>
    <row r="5" spans="1:7">
      <c r="A5" s="163" t="s">
        <v>579</v>
      </c>
      <c r="B5" s="63"/>
      <c r="C5" s="63"/>
      <c r="D5" s="63"/>
      <c r="E5" s="63"/>
      <c r="F5" s="63"/>
    </row>
    <row r="6" spans="1:7" ht="30">
      <c r="A6" s="164" t="s">
        <v>580</v>
      </c>
      <c r="B6" s="34"/>
      <c r="C6" s="34"/>
      <c r="D6" s="34"/>
      <c r="E6" s="34"/>
      <c r="F6" s="34"/>
    </row>
    <row r="7" spans="1:7">
      <c r="A7" s="164" t="s">
        <v>581</v>
      </c>
      <c r="B7" s="34"/>
      <c r="C7" s="34"/>
      <c r="D7" s="34"/>
      <c r="E7" s="34"/>
      <c r="F7" s="34"/>
    </row>
    <row r="8" spans="1:7">
      <c r="A8" s="165"/>
      <c r="B8" s="30"/>
      <c r="C8" s="30"/>
      <c r="D8" s="30"/>
      <c r="E8" s="30"/>
      <c r="F8" s="30"/>
    </row>
    <row r="9" spans="1:7">
      <c r="A9" s="163" t="s">
        <v>582</v>
      </c>
      <c r="B9" s="30"/>
      <c r="C9" s="30"/>
      <c r="D9" s="30"/>
      <c r="E9" s="30"/>
      <c r="F9" s="30"/>
    </row>
    <row r="10" spans="1:7">
      <c r="A10" s="164" t="s">
        <v>583</v>
      </c>
      <c r="B10" s="34"/>
      <c r="C10" s="34"/>
      <c r="D10" s="34"/>
      <c r="E10" s="34"/>
      <c r="F10" s="34"/>
    </row>
    <row r="11" spans="1:7">
      <c r="A11" s="166" t="s">
        <v>584</v>
      </c>
      <c r="B11" s="34"/>
      <c r="C11" s="34"/>
      <c r="D11" s="34"/>
      <c r="E11" s="34"/>
      <c r="F11" s="34"/>
    </row>
    <row r="12" spans="1:7">
      <c r="A12" s="166" t="s">
        <v>585</v>
      </c>
      <c r="B12" s="34"/>
      <c r="C12" s="34"/>
      <c r="D12" s="34"/>
      <c r="E12" s="34"/>
      <c r="F12" s="34"/>
    </row>
    <row r="13" spans="1:7">
      <c r="A13" s="166" t="s">
        <v>586</v>
      </c>
      <c r="B13" s="34"/>
      <c r="C13" s="34"/>
      <c r="D13" s="34"/>
      <c r="E13" s="34"/>
      <c r="F13" s="34"/>
    </row>
    <row r="14" spans="1:7">
      <c r="A14" s="164" t="s">
        <v>587</v>
      </c>
      <c r="B14" s="34"/>
      <c r="C14" s="34"/>
      <c r="D14" s="34"/>
      <c r="E14" s="34"/>
      <c r="F14" s="34"/>
    </row>
    <row r="15" spans="1:7">
      <c r="A15" s="166" t="s">
        <v>584</v>
      </c>
      <c r="B15" s="34"/>
      <c r="C15" s="34"/>
      <c r="D15" s="34"/>
      <c r="E15" s="34"/>
      <c r="F15" s="34"/>
    </row>
    <row r="16" spans="1:7">
      <c r="A16" s="166" t="s">
        <v>585</v>
      </c>
      <c r="B16" s="34"/>
      <c r="C16" s="34"/>
      <c r="D16" s="34"/>
      <c r="E16" s="34"/>
      <c r="F16" s="34"/>
    </row>
    <row r="17" spans="1:6">
      <c r="A17" s="166" t="s">
        <v>586</v>
      </c>
      <c r="B17" s="34"/>
      <c r="C17" s="34"/>
      <c r="D17" s="34"/>
      <c r="E17" s="34"/>
      <c r="F17" s="34"/>
    </row>
    <row r="18" spans="1:6">
      <c r="A18" s="164" t="s">
        <v>588</v>
      </c>
      <c r="B18" s="167"/>
      <c r="C18" s="34"/>
      <c r="D18" s="34"/>
      <c r="E18" s="34"/>
      <c r="F18" s="34"/>
    </row>
    <row r="19" spans="1:6">
      <c r="A19" s="164" t="s">
        <v>589</v>
      </c>
      <c r="B19" s="34"/>
      <c r="C19" s="34"/>
      <c r="D19" s="34"/>
      <c r="E19" s="34"/>
      <c r="F19" s="34"/>
    </row>
    <row r="20" spans="1:6">
      <c r="A20" s="164" t="s">
        <v>590</v>
      </c>
      <c r="B20" s="168"/>
      <c r="C20" s="168"/>
      <c r="D20" s="168"/>
      <c r="E20" s="168"/>
      <c r="F20" s="168"/>
    </row>
    <row r="21" spans="1:6">
      <c r="A21" s="164" t="s">
        <v>591</v>
      </c>
      <c r="B21" s="168"/>
      <c r="C21" s="168"/>
      <c r="D21" s="168"/>
      <c r="E21" s="168"/>
      <c r="F21" s="168"/>
    </row>
    <row r="22" spans="1:6">
      <c r="A22" s="124" t="s">
        <v>592</v>
      </c>
      <c r="B22" s="168"/>
      <c r="C22" s="168"/>
      <c r="D22" s="168"/>
      <c r="E22" s="168"/>
      <c r="F22" s="168"/>
    </row>
    <row r="23" spans="1:6">
      <c r="A23" s="124" t="s">
        <v>593</v>
      </c>
      <c r="B23" s="168"/>
      <c r="C23" s="168"/>
      <c r="D23" s="168"/>
      <c r="E23" s="168"/>
      <c r="F23" s="168"/>
    </row>
    <row r="24" spans="1:6">
      <c r="A24" s="124" t="s">
        <v>594</v>
      </c>
      <c r="B24" s="169"/>
      <c r="C24" s="34"/>
      <c r="D24" s="34"/>
      <c r="E24" s="34"/>
      <c r="F24" s="34"/>
    </row>
    <row r="25" spans="1:6">
      <c r="A25" s="164" t="s">
        <v>595</v>
      </c>
      <c r="B25" s="169"/>
      <c r="C25" s="34"/>
      <c r="D25" s="34"/>
      <c r="E25" s="34"/>
      <c r="F25" s="34"/>
    </row>
    <row r="26" spans="1:6">
      <c r="A26" s="165"/>
      <c r="B26" s="30"/>
      <c r="C26" s="30"/>
      <c r="D26" s="30"/>
      <c r="E26" s="30"/>
      <c r="F26" s="30"/>
    </row>
    <row r="27" spans="1:6">
      <c r="A27" s="163" t="s">
        <v>596</v>
      </c>
      <c r="B27" s="30"/>
      <c r="C27" s="30"/>
      <c r="D27" s="30"/>
      <c r="E27" s="30"/>
      <c r="F27" s="30"/>
    </row>
    <row r="28" spans="1:6">
      <c r="A28" s="164" t="s">
        <v>597</v>
      </c>
      <c r="B28" s="34"/>
      <c r="C28" s="34"/>
      <c r="D28" s="34"/>
      <c r="E28" s="34"/>
      <c r="F28" s="34"/>
    </row>
    <row r="29" spans="1:6">
      <c r="A29" s="165"/>
      <c r="B29" s="30"/>
      <c r="C29" s="30"/>
      <c r="D29" s="30"/>
      <c r="E29" s="30"/>
      <c r="F29" s="30"/>
    </row>
    <row r="30" spans="1:6">
      <c r="A30" s="163" t="s">
        <v>598</v>
      </c>
      <c r="B30" s="30"/>
      <c r="C30" s="30"/>
      <c r="D30" s="30"/>
      <c r="E30" s="30"/>
      <c r="F30" s="30"/>
    </row>
    <row r="31" spans="1:6">
      <c r="A31" s="164" t="s">
        <v>583</v>
      </c>
      <c r="B31" s="34"/>
      <c r="C31" s="34"/>
      <c r="D31" s="34"/>
      <c r="E31" s="34"/>
      <c r="F31" s="34"/>
    </row>
    <row r="32" spans="1:6">
      <c r="A32" s="164" t="s">
        <v>587</v>
      </c>
      <c r="B32" s="34"/>
      <c r="C32" s="34"/>
      <c r="D32" s="34"/>
      <c r="E32" s="34"/>
      <c r="F32" s="34"/>
    </row>
    <row r="33" spans="1:6">
      <c r="A33" s="164" t="s">
        <v>599</v>
      </c>
      <c r="B33" s="34"/>
      <c r="C33" s="34"/>
      <c r="D33" s="34"/>
      <c r="E33" s="34"/>
      <c r="F33" s="34"/>
    </row>
    <row r="34" spans="1:6">
      <c r="A34" s="165"/>
      <c r="B34" s="30"/>
      <c r="C34" s="30"/>
      <c r="D34" s="30"/>
      <c r="E34" s="30"/>
      <c r="F34" s="30"/>
    </row>
    <row r="35" spans="1:6">
      <c r="A35" s="163" t="s">
        <v>600</v>
      </c>
      <c r="B35" s="30"/>
      <c r="C35" s="30"/>
      <c r="D35" s="30"/>
      <c r="E35" s="30"/>
      <c r="F35" s="30"/>
    </row>
    <row r="36" spans="1:6">
      <c r="A36" s="164" t="s">
        <v>601</v>
      </c>
      <c r="B36" s="34"/>
      <c r="C36" s="34"/>
      <c r="D36" s="34"/>
      <c r="E36" s="34"/>
      <c r="F36" s="34"/>
    </row>
    <row r="37" spans="1:6">
      <c r="A37" s="164" t="s">
        <v>602</v>
      </c>
      <c r="B37" s="34"/>
      <c r="C37" s="34"/>
      <c r="D37" s="34"/>
      <c r="E37" s="34"/>
      <c r="F37" s="34"/>
    </row>
    <row r="38" spans="1:6">
      <c r="A38" s="164" t="s">
        <v>603</v>
      </c>
      <c r="B38" s="169"/>
      <c r="C38" s="34"/>
      <c r="D38" s="34"/>
      <c r="E38" s="34"/>
      <c r="F38" s="34"/>
    </row>
    <row r="39" spans="1:6">
      <c r="A39" s="165"/>
      <c r="B39" s="30"/>
      <c r="C39" s="30"/>
      <c r="D39" s="30"/>
      <c r="E39" s="30"/>
      <c r="F39" s="30"/>
    </row>
    <row r="40" spans="1:6">
      <c r="A40" s="163" t="s">
        <v>604</v>
      </c>
      <c r="B40" s="34"/>
      <c r="C40" s="34"/>
      <c r="D40" s="34"/>
      <c r="E40" s="34"/>
      <c r="F40" s="34"/>
    </row>
    <row r="41" spans="1:6">
      <c r="A41" s="165"/>
      <c r="B41" s="30"/>
      <c r="C41" s="30"/>
      <c r="D41" s="30"/>
      <c r="E41" s="30"/>
      <c r="F41" s="30"/>
    </row>
    <row r="42" spans="1:6">
      <c r="A42" s="163" t="s">
        <v>605</v>
      </c>
      <c r="B42" s="30"/>
      <c r="C42" s="30"/>
      <c r="D42" s="30"/>
      <c r="E42" s="30"/>
      <c r="F42" s="30"/>
    </row>
    <row r="43" spans="1:6">
      <c r="A43" s="164" t="s">
        <v>606</v>
      </c>
      <c r="B43" s="34"/>
      <c r="C43" s="34"/>
      <c r="D43" s="34"/>
      <c r="E43" s="34"/>
      <c r="F43" s="34"/>
    </row>
    <row r="44" spans="1:6">
      <c r="A44" s="164" t="s">
        <v>607</v>
      </c>
      <c r="B44" s="34"/>
      <c r="C44" s="34"/>
      <c r="D44" s="34"/>
      <c r="E44" s="34"/>
      <c r="F44" s="34"/>
    </row>
    <row r="45" spans="1:6">
      <c r="A45" s="164" t="s">
        <v>608</v>
      </c>
      <c r="B45" s="34"/>
      <c r="C45" s="34"/>
      <c r="D45" s="34"/>
      <c r="E45" s="34"/>
      <c r="F45" s="34"/>
    </row>
    <row r="46" spans="1:6">
      <c r="A46" s="165"/>
      <c r="B46" s="30"/>
      <c r="C46" s="30"/>
      <c r="D46" s="30"/>
      <c r="E46" s="30"/>
      <c r="F46" s="30"/>
    </row>
    <row r="47" spans="1:6" ht="30">
      <c r="A47" s="163" t="s">
        <v>609</v>
      </c>
      <c r="B47" s="30"/>
      <c r="C47" s="30"/>
      <c r="D47" s="30"/>
      <c r="E47" s="30"/>
      <c r="F47" s="30"/>
    </row>
    <row r="48" spans="1:6">
      <c r="A48" s="124" t="s">
        <v>607</v>
      </c>
      <c r="B48" s="168"/>
      <c r="C48" s="168"/>
      <c r="D48" s="168"/>
      <c r="E48" s="168"/>
      <c r="F48" s="168"/>
    </row>
    <row r="49" spans="1:6">
      <c r="A49" s="124" t="s">
        <v>608</v>
      </c>
      <c r="B49" s="168"/>
      <c r="C49" s="168"/>
      <c r="D49" s="168"/>
      <c r="E49" s="168"/>
      <c r="F49" s="168"/>
    </row>
    <row r="50" spans="1:6">
      <c r="A50" s="165"/>
      <c r="B50" s="30"/>
      <c r="C50" s="30"/>
      <c r="D50" s="30"/>
      <c r="E50" s="30"/>
      <c r="F50" s="30"/>
    </row>
    <row r="51" spans="1:6">
      <c r="A51" s="163" t="s">
        <v>610</v>
      </c>
      <c r="B51" s="30"/>
      <c r="C51" s="30"/>
      <c r="D51" s="30"/>
      <c r="E51" s="30"/>
      <c r="F51" s="30"/>
    </row>
    <row r="52" spans="1:6">
      <c r="A52" s="164" t="s">
        <v>607</v>
      </c>
      <c r="B52" s="34"/>
      <c r="C52" s="34"/>
      <c r="D52" s="34"/>
      <c r="E52" s="34"/>
      <c r="F52" s="34"/>
    </row>
    <row r="53" spans="1:6">
      <c r="A53" s="164" t="s">
        <v>608</v>
      </c>
      <c r="B53" s="34"/>
      <c r="C53" s="34"/>
      <c r="D53" s="34"/>
      <c r="E53" s="34"/>
      <c r="F53" s="34"/>
    </row>
    <row r="54" spans="1:6">
      <c r="A54" s="164" t="s">
        <v>611</v>
      </c>
      <c r="B54" s="34"/>
      <c r="C54" s="34"/>
      <c r="D54" s="34"/>
      <c r="E54" s="34"/>
      <c r="F54" s="34"/>
    </row>
    <row r="55" spans="1:6">
      <c r="A55" s="165"/>
      <c r="B55" s="30"/>
      <c r="C55" s="30"/>
      <c r="D55" s="30"/>
      <c r="E55" s="30"/>
      <c r="F55" s="30"/>
    </row>
    <row r="56" spans="1:6">
      <c r="A56" s="163" t="s">
        <v>612</v>
      </c>
      <c r="B56" s="30"/>
      <c r="C56" s="30"/>
      <c r="D56" s="30"/>
      <c r="E56" s="30"/>
      <c r="F56" s="30"/>
    </row>
    <row r="57" spans="1:6">
      <c r="A57" s="164" t="s">
        <v>607</v>
      </c>
      <c r="B57" s="34"/>
      <c r="C57" s="34"/>
      <c r="D57" s="34"/>
      <c r="E57" s="34"/>
      <c r="F57" s="34"/>
    </row>
    <row r="58" spans="1:6">
      <c r="A58" s="164" t="s">
        <v>608</v>
      </c>
      <c r="B58" s="34"/>
      <c r="C58" s="34"/>
      <c r="D58" s="34"/>
      <c r="E58" s="34"/>
      <c r="F58" s="34"/>
    </row>
    <row r="59" spans="1:6">
      <c r="A59" s="165"/>
      <c r="B59" s="30"/>
      <c r="C59" s="30"/>
      <c r="D59" s="30"/>
      <c r="E59" s="30"/>
      <c r="F59" s="30"/>
    </row>
    <row r="60" spans="1:6">
      <c r="A60" s="163" t="s">
        <v>613</v>
      </c>
      <c r="B60" s="30"/>
      <c r="C60" s="30"/>
      <c r="D60" s="30"/>
      <c r="E60" s="30"/>
      <c r="F60" s="30"/>
    </row>
    <row r="61" spans="1:6">
      <c r="A61" s="164" t="s">
        <v>614</v>
      </c>
      <c r="B61" s="34"/>
      <c r="C61" s="34"/>
      <c r="D61" s="34"/>
      <c r="E61" s="34"/>
      <c r="F61" s="34"/>
    </row>
    <row r="62" spans="1:6">
      <c r="A62" s="164" t="s">
        <v>615</v>
      </c>
      <c r="B62" s="169"/>
      <c r="C62" s="34"/>
      <c r="D62" s="34"/>
      <c r="E62" s="34"/>
      <c r="F62" s="34"/>
    </row>
    <row r="63" spans="1:6">
      <c r="A63" s="165"/>
      <c r="B63" s="30"/>
      <c r="C63" s="30"/>
      <c r="D63" s="30"/>
      <c r="E63" s="30"/>
      <c r="F63" s="30"/>
    </row>
    <row r="64" spans="1:6">
      <c r="A64" s="163" t="s">
        <v>616</v>
      </c>
      <c r="B64" s="30"/>
      <c r="C64" s="30"/>
      <c r="D64" s="30"/>
      <c r="E64" s="30"/>
      <c r="F64" s="30"/>
    </row>
    <row r="65" spans="1:6">
      <c r="A65" s="164" t="s">
        <v>617</v>
      </c>
      <c r="B65" s="34"/>
      <c r="C65" s="34"/>
      <c r="D65" s="34"/>
      <c r="E65" s="34"/>
      <c r="F65" s="34"/>
    </row>
    <row r="66" spans="1:6">
      <c r="A66" s="164" t="s">
        <v>618</v>
      </c>
      <c r="B66" s="34"/>
      <c r="C66" s="34"/>
      <c r="D66" s="34"/>
      <c r="E66" s="34"/>
      <c r="F66" s="34"/>
    </row>
    <row r="67" spans="1:6">
      <c r="A67" s="170"/>
      <c r="B67" s="17"/>
      <c r="C67" s="17"/>
      <c r="D67" s="17"/>
      <c r="E67" s="17"/>
      <c r="F67" s="17"/>
    </row>
  </sheetData>
  <mergeCells count="3">
    <mergeCell ref="A1:F1"/>
    <mergeCell ref="A2:F2"/>
    <mergeCell ref="A3:F3"/>
  </mergeCells>
  <dataValidations count="26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monto de la reserva a la fecha de cierre del ejercicio solicitado." sqref="F40">
      <formula1>0</formula1>
      <formula2>#REF!</formula2>
    </dataValidation>
    <dataValidation type="decimal" allowBlank="1" showInputMessage="1" showErrorMessage="1" prompt="El monto de la reserva a la fecha de cierre del ejercicio solicitado." sqref="E40">
      <formula1>0</formula1>
      <formula2>#REF!</formula2>
    </dataValidation>
    <dataValidation type="decimal" allowBlank="1" showInputMessage="1" showErrorMessage="1" prompt="El monto de la reserva a la fecha de cierre del ejercicio solicitado." sqref="D40">
      <formula1>0</formula1>
      <formula2>#REF!</formula2>
    </dataValidation>
    <dataValidation type="decimal" allowBlank="1" showInputMessage="1" showErrorMessage="1" prompt="El monto de la reserva a la fecha de cierre del ejercicio solicitado." sqref="C40">
      <formula1>0</formula1>
      <formula2>#REF!</formula2>
    </dataValidation>
    <dataValidation type="whole" allowBlank="1" showInputMessage="1" showErrorMessage="1" sqref="F18">
      <formula1>0</formula1>
      <formula2>#REF!</formula2>
    </dataValidation>
    <dataValidation type="whole" allowBlank="1" showInputMessage="1" showErrorMessage="1" sqref="E18">
      <formula1>0</formula1>
      <formula2>#REF!</formula2>
    </dataValidation>
    <dataValidation type="whole" allowBlank="1" showInputMessage="1" showErrorMessage="1" sqref="D18">
      <formula1>0</formula1>
      <formula2>#REF!</formula2>
    </dataValidation>
    <dataValidation type="whole" allowBlank="1" showInputMessage="1" showErrorMessage="1" sqref="C18">
      <formula1>0</formula1>
      <formula2>#REF!</formula2>
    </dataValidation>
    <dataValidation type="whole" allowBlank="1" showInputMessage="1" showErrorMessage="1" sqref="B18">
      <formula1>0</formula1>
      <formula2>#REF!</formula2>
    </dataValidation>
    <dataValidation type="decimal" allowBlank="1" showInputMessage="1" showErrorMessage="1" prompt="El valor presente de las contribuciones asociadas a los sueldos futuros de cotización de generaciones futuras." sqref="B49:F49">
      <formula1>0</formula1>
      <formula2>#REF!</formula2>
    </dataValidation>
    <dataValidation type="decimal" allowBlank="1" showInputMessage="1" showErrorMessage="1" prompt="El valor presente de las contribuciones asociadas a los sueldos futuros de cotización de la generación actual." sqref="B48:F48">
      <formula1>0</formula1>
      <formula2>#REF!</formula2>
    </dataValidation>
    <dataValidation type="decimal" allowBlank="1" showInputMessage="1" showErrorMessage="1" prompt="El monto de la reserva a la fecha de cierre del ejercicio solicitado." sqref="B40">
      <formula1>0</formula1>
      <formula2>#REF!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83"/>
  <sheetViews>
    <sheetView workbookViewId="0">
      <selection activeCell="A4" sqref="A4:F4"/>
    </sheetView>
  </sheetViews>
  <sheetFormatPr baseColWidth="10" defaultColWidth="0" defaultRowHeight="15" zeroHeight="1"/>
  <cols>
    <col min="1" max="1" width="99.85546875" style="53" customWidth="1"/>
    <col min="2" max="3" width="20" customWidth="1"/>
    <col min="4" max="4" width="100" style="53" customWidth="1"/>
    <col min="5" max="6" width="20" customWidth="1"/>
    <col min="7" max="16384" width="10.7109375" hidden="1"/>
  </cols>
  <sheetData>
    <row r="1" spans="1:6" s="20" customFormat="1" ht="37.5" customHeight="1">
      <c r="A1" s="178" t="s">
        <v>88</v>
      </c>
      <c r="B1" s="178"/>
      <c r="C1" s="178"/>
      <c r="D1" s="178"/>
      <c r="E1" s="178"/>
      <c r="F1" s="178"/>
    </row>
    <row r="2" spans="1:6">
      <c r="A2" s="179" t="s">
        <v>628</v>
      </c>
      <c r="B2" s="180"/>
      <c r="C2" s="180"/>
      <c r="D2" s="180"/>
      <c r="E2" s="180"/>
      <c r="F2" s="181"/>
    </row>
    <row r="3" spans="1:6">
      <c r="A3" s="182" t="s">
        <v>89</v>
      </c>
      <c r="B3" s="183"/>
      <c r="C3" s="183"/>
      <c r="D3" s="183"/>
      <c r="E3" s="183"/>
      <c r="F3" s="184"/>
    </row>
    <row r="4" spans="1:6">
      <c r="A4" s="185" t="str">
        <f>PERIODO_INFORME</f>
        <v>Al 31 de diciembre de 2017 y al 30 de marzo de 2018 (b)</v>
      </c>
      <c r="B4" s="186"/>
      <c r="C4" s="186"/>
      <c r="D4" s="186"/>
      <c r="E4" s="186"/>
      <c r="F4" s="187"/>
    </row>
    <row r="5" spans="1:6">
      <c r="A5" s="188" t="s">
        <v>3</v>
      </c>
      <c r="B5" s="189"/>
      <c r="C5" s="189"/>
      <c r="D5" s="189"/>
      <c r="E5" s="189"/>
      <c r="F5" s="190"/>
    </row>
    <row r="6" spans="1:6" s="25" customFormat="1" ht="30">
      <c r="A6" s="21" t="s">
        <v>90</v>
      </c>
      <c r="B6" s="22" t="str">
        <f>ANIO</f>
        <v>2018 (d)</v>
      </c>
      <c r="C6" s="23" t="str">
        <f>ULTIMO</f>
        <v>31 de diciembre de 2017 (e)</v>
      </c>
      <c r="D6" s="24" t="s">
        <v>4</v>
      </c>
      <c r="E6" s="22" t="str">
        <f>ANIO</f>
        <v>2018 (d)</v>
      </c>
      <c r="F6" s="23" t="str">
        <f>ULTIMO</f>
        <v>31 de diciembre de 2017 (e)</v>
      </c>
    </row>
    <row r="7" spans="1:6">
      <c r="A7" s="26" t="s">
        <v>91</v>
      </c>
      <c r="B7" s="27"/>
      <c r="C7" s="27"/>
      <c r="D7" s="28" t="s">
        <v>92</v>
      </c>
      <c r="E7" s="27"/>
      <c r="F7" s="27"/>
    </row>
    <row r="8" spans="1:6">
      <c r="A8" s="29" t="s">
        <v>93</v>
      </c>
      <c r="B8" s="30"/>
      <c r="C8" s="30"/>
      <c r="D8" s="31" t="s">
        <v>94</v>
      </c>
      <c r="E8" s="30"/>
      <c r="F8" s="30"/>
    </row>
    <row r="9" spans="1:6">
      <c r="A9" s="32" t="s">
        <v>95</v>
      </c>
      <c r="B9" s="33">
        <f>SUM(B10:B16)</f>
        <v>143759882.60000002</v>
      </c>
      <c r="C9" s="33">
        <f>SUM(C10:C16)</f>
        <v>172793943.24000001</v>
      </c>
      <c r="D9" s="35" t="s">
        <v>96</v>
      </c>
      <c r="E9" s="33">
        <f>SUM(E10:E18)</f>
        <v>24673202.120000005</v>
      </c>
      <c r="F9" s="33">
        <f>SUM(F10:F18)</f>
        <v>47374206.619999997</v>
      </c>
    </row>
    <row r="10" spans="1:6">
      <c r="A10" s="36" t="s">
        <v>97</v>
      </c>
      <c r="B10" s="37"/>
      <c r="C10" s="37"/>
      <c r="D10" s="38" t="s">
        <v>98</v>
      </c>
      <c r="E10" s="37">
        <v>29340.21</v>
      </c>
      <c r="F10" s="37">
        <v>1134319.7</v>
      </c>
    </row>
    <row r="11" spans="1:6">
      <c r="A11" s="36" t="s">
        <v>99</v>
      </c>
      <c r="B11" s="37">
        <v>44689138.170000002</v>
      </c>
      <c r="C11" s="37">
        <v>13747463.57</v>
      </c>
      <c r="D11" s="38" t="s">
        <v>100</v>
      </c>
      <c r="E11" s="37">
        <v>3362362.46</v>
      </c>
      <c r="F11" s="37">
        <v>15652629.75</v>
      </c>
    </row>
    <row r="12" spans="1:6">
      <c r="A12" s="36" t="s">
        <v>101</v>
      </c>
      <c r="B12" s="37"/>
      <c r="C12" s="37"/>
      <c r="D12" s="38" t="s">
        <v>102</v>
      </c>
      <c r="E12" s="37">
        <v>14058626.380000001</v>
      </c>
      <c r="F12" s="37">
        <v>22345214.309999999</v>
      </c>
    </row>
    <row r="13" spans="1:6">
      <c r="A13" s="36" t="s">
        <v>103</v>
      </c>
      <c r="B13" s="37">
        <v>84015462.010000005</v>
      </c>
      <c r="C13" s="37">
        <v>119652802.16</v>
      </c>
      <c r="D13" s="38" t="s">
        <v>104</v>
      </c>
      <c r="E13" s="37"/>
      <c r="F13" s="37"/>
    </row>
    <row r="14" spans="1:6">
      <c r="A14" s="36" t="s">
        <v>105</v>
      </c>
      <c r="B14" s="37">
        <v>14686202.84</v>
      </c>
      <c r="C14" s="37">
        <v>39018233.020000003</v>
      </c>
      <c r="D14" s="38" t="s">
        <v>106</v>
      </c>
      <c r="E14" s="37">
        <v>28420</v>
      </c>
      <c r="F14" s="37">
        <v>327405.33</v>
      </c>
    </row>
    <row r="15" spans="1:6">
      <c r="A15" s="36" t="s">
        <v>107</v>
      </c>
      <c r="B15" s="37">
        <v>369079.58</v>
      </c>
      <c r="C15" s="37">
        <v>375444.49</v>
      </c>
      <c r="D15" s="38" t="s">
        <v>108</v>
      </c>
      <c r="E15" s="37"/>
      <c r="F15" s="37"/>
    </row>
    <row r="16" spans="1:6">
      <c r="A16" s="36" t="s">
        <v>109</v>
      </c>
      <c r="B16" s="37"/>
      <c r="C16" s="37"/>
      <c r="D16" s="38" t="s">
        <v>110</v>
      </c>
      <c r="E16" s="37">
        <v>4149398.33</v>
      </c>
      <c r="F16" s="37">
        <v>6300258.4100000001</v>
      </c>
    </row>
    <row r="17" spans="1:6">
      <c r="A17" s="32" t="s">
        <v>111</v>
      </c>
      <c r="B17" s="33">
        <f>SUM(B18:B24)</f>
        <v>18762692.170000002</v>
      </c>
      <c r="C17" s="33">
        <f>SUM(C18:C24)</f>
        <v>28085402.789999999</v>
      </c>
      <c r="D17" s="38" t="s">
        <v>112</v>
      </c>
      <c r="E17" s="37"/>
      <c r="F17" s="37"/>
    </row>
    <row r="18" spans="1:6">
      <c r="A18" s="39" t="s">
        <v>113</v>
      </c>
      <c r="B18" s="37"/>
      <c r="C18" s="37"/>
      <c r="D18" s="38" t="s">
        <v>114</v>
      </c>
      <c r="E18" s="37">
        <v>3045054.74</v>
      </c>
      <c r="F18" s="37">
        <v>1614379.12</v>
      </c>
    </row>
    <row r="19" spans="1:6">
      <c r="A19" s="39" t="s">
        <v>115</v>
      </c>
      <c r="B19" s="37">
        <v>951014.03</v>
      </c>
      <c r="C19" s="37">
        <v>944512.65</v>
      </c>
      <c r="D19" s="35" t="s">
        <v>116</v>
      </c>
      <c r="E19" s="33">
        <f>SUM(E20:E22)</f>
        <v>0</v>
      </c>
      <c r="F19" s="33">
        <f>SUM(F20:F22)</f>
        <v>0</v>
      </c>
    </row>
    <row r="20" spans="1:6">
      <c r="A20" s="39" t="s">
        <v>117</v>
      </c>
      <c r="B20" s="37">
        <v>1238092.98</v>
      </c>
      <c r="C20" s="37">
        <v>435000.39</v>
      </c>
      <c r="D20" s="38" t="s">
        <v>118</v>
      </c>
      <c r="E20" s="37">
        <v>0</v>
      </c>
      <c r="F20" s="37">
        <v>0</v>
      </c>
    </row>
    <row r="21" spans="1:6">
      <c r="A21" s="39" t="s">
        <v>119</v>
      </c>
      <c r="B21" s="37"/>
      <c r="C21" s="37"/>
      <c r="D21" s="38" t="s">
        <v>120</v>
      </c>
      <c r="E21" s="37">
        <v>0</v>
      </c>
      <c r="F21" s="37">
        <v>0</v>
      </c>
    </row>
    <row r="22" spans="1:6">
      <c r="A22" s="39" t="s">
        <v>121</v>
      </c>
      <c r="B22" s="37">
        <v>180000</v>
      </c>
      <c r="C22" s="37">
        <v>170000</v>
      </c>
      <c r="D22" s="38" t="s">
        <v>122</v>
      </c>
      <c r="E22" s="37">
        <v>0</v>
      </c>
      <c r="F22" s="37">
        <v>0</v>
      </c>
    </row>
    <row r="23" spans="1:6">
      <c r="A23" s="39" t="s">
        <v>123</v>
      </c>
      <c r="B23" s="37"/>
      <c r="C23" s="37"/>
      <c r="D23" s="35" t="s">
        <v>124</v>
      </c>
      <c r="E23" s="40">
        <f>E24+E25</f>
        <v>230852.91</v>
      </c>
      <c r="F23" s="33">
        <f>F24+F25</f>
        <v>0</v>
      </c>
    </row>
    <row r="24" spans="1:6">
      <c r="A24" s="39" t="s">
        <v>125</v>
      </c>
      <c r="B24" s="37">
        <v>16393585.16</v>
      </c>
      <c r="C24" s="37">
        <v>26535889.75</v>
      </c>
      <c r="D24" s="38" t="s">
        <v>126</v>
      </c>
      <c r="E24" s="41">
        <v>230852.91</v>
      </c>
      <c r="F24" s="37">
        <v>0</v>
      </c>
    </row>
    <row r="25" spans="1:6">
      <c r="A25" s="32" t="s">
        <v>127</v>
      </c>
      <c r="B25" s="33">
        <f>SUM(B26:B30)</f>
        <v>11704214.720000001</v>
      </c>
      <c r="C25" s="33">
        <f>SUM(C26:C30)</f>
        <v>30300373</v>
      </c>
      <c r="D25" s="38" t="s">
        <v>128</v>
      </c>
      <c r="E25" s="37">
        <v>0</v>
      </c>
      <c r="F25" s="37">
        <v>0</v>
      </c>
    </row>
    <row r="26" spans="1:6">
      <c r="A26" s="39" t="s">
        <v>129</v>
      </c>
      <c r="B26" s="37">
        <v>134413.88</v>
      </c>
      <c r="C26" s="37">
        <v>134413.88</v>
      </c>
      <c r="D26" s="35" t="s">
        <v>130</v>
      </c>
      <c r="E26" s="37">
        <v>0</v>
      </c>
      <c r="F26" s="37">
        <v>0</v>
      </c>
    </row>
    <row r="27" spans="1:6">
      <c r="A27" s="39" t="s">
        <v>131</v>
      </c>
      <c r="B27" s="37">
        <v>0</v>
      </c>
      <c r="C27" s="37">
        <v>2497500</v>
      </c>
      <c r="D27" s="35" t="s">
        <v>132</v>
      </c>
      <c r="E27" s="33">
        <f>SUM(E28:E30)</f>
        <v>0</v>
      </c>
      <c r="F27" s="33">
        <f>SUM(F28:F30)</f>
        <v>0</v>
      </c>
    </row>
    <row r="28" spans="1:6">
      <c r="A28" s="39" t="s">
        <v>133</v>
      </c>
      <c r="B28" s="37"/>
      <c r="C28" s="37"/>
      <c r="D28" s="38" t="s">
        <v>134</v>
      </c>
      <c r="E28" s="37">
        <v>0</v>
      </c>
      <c r="F28" s="37">
        <v>0</v>
      </c>
    </row>
    <row r="29" spans="1:6">
      <c r="A29" s="39" t="s">
        <v>135</v>
      </c>
      <c r="B29" s="37">
        <v>11569800.84</v>
      </c>
      <c r="C29" s="37">
        <v>27668459.120000001</v>
      </c>
      <c r="D29" s="38" t="s">
        <v>136</v>
      </c>
      <c r="E29" s="37">
        <v>0</v>
      </c>
      <c r="F29" s="37">
        <v>0</v>
      </c>
    </row>
    <row r="30" spans="1:6">
      <c r="A30" s="39" t="s">
        <v>137</v>
      </c>
      <c r="B30" s="37"/>
      <c r="C30" s="37"/>
      <c r="D30" s="38" t="s">
        <v>138</v>
      </c>
      <c r="E30" s="37">
        <v>0</v>
      </c>
      <c r="F30" s="37">
        <v>0</v>
      </c>
    </row>
    <row r="31" spans="1:6">
      <c r="A31" s="32" t="s">
        <v>139</v>
      </c>
      <c r="B31" s="33">
        <f>SUM(B32:B36)</f>
        <v>0</v>
      </c>
      <c r="C31" s="33">
        <f>SUM(C32:C36)</f>
        <v>0</v>
      </c>
      <c r="D31" s="35" t="s">
        <v>140</v>
      </c>
      <c r="E31" s="33">
        <f>SUM(E32:E37)</f>
        <v>0</v>
      </c>
      <c r="F31" s="33">
        <f>SUM(F32:F37)</f>
        <v>0</v>
      </c>
    </row>
    <row r="32" spans="1:6">
      <c r="A32" s="39" t="s">
        <v>141</v>
      </c>
      <c r="B32" s="37">
        <v>0</v>
      </c>
      <c r="C32" s="37">
        <v>0</v>
      </c>
      <c r="D32" s="38" t="s">
        <v>142</v>
      </c>
      <c r="E32" s="37">
        <v>0</v>
      </c>
      <c r="F32" s="37">
        <v>0</v>
      </c>
    </row>
    <row r="33" spans="1:6">
      <c r="A33" s="39" t="s">
        <v>143</v>
      </c>
      <c r="B33" s="37">
        <v>0</v>
      </c>
      <c r="C33" s="37">
        <v>0</v>
      </c>
      <c r="D33" s="38" t="s">
        <v>144</v>
      </c>
      <c r="E33" s="37">
        <v>0</v>
      </c>
      <c r="F33" s="37">
        <v>0</v>
      </c>
    </row>
    <row r="34" spans="1:6">
      <c r="A34" s="39" t="s">
        <v>145</v>
      </c>
      <c r="B34" s="37">
        <v>0</v>
      </c>
      <c r="C34" s="37">
        <v>0</v>
      </c>
      <c r="D34" s="38" t="s">
        <v>146</v>
      </c>
      <c r="E34" s="37">
        <v>0</v>
      </c>
      <c r="F34" s="37">
        <v>0</v>
      </c>
    </row>
    <row r="35" spans="1:6">
      <c r="A35" s="39" t="s">
        <v>147</v>
      </c>
      <c r="B35" s="37">
        <v>0</v>
      </c>
      <c r="C35" s="37">
        <v>0</v>
      </c>
      <c r="D35" s="38" t="s">
        <v>148</v>
      </c>
      <c r="E35" s="37">
        <v>0</v>
      </c>
      <c r="F35" s="37">
        <v>0</v>
      </c>
    </row>
    <row r="36" spans="1:6">
      <c r="A36" s="39" t="s">
        <v>149</v>
      </c>
      <c r="B36" s="37">
        <v>0</v>
      </c>
      <c r="C36" s="37">
        <v>0</v>
      </c>
      <c r="D36" s="38" t="s">
        <v>150</v>
      </c>
      <c r="E36" s="37">
        <v>0</v>
      </c>
      <c r="F36" s="37">
        <v>0</v>
      </c>
    </row>
    <row r="37" spans="1:6">
      <c r="A37" s="32" t="s">
        <v>151</v>
      </c>
      <c r="B37" s="37">
        <v>0</v>
      </c>
      <c r="C37" s="37">
        <v>0</v>
      </c>
      <c r="D37" s="38" t="s">
        <v>152</v>
      </c>
      <c r="E37" s="37">
        <v>0</v>
      </c>
      <c r="F37" s="37">
        <v>0</v>
      </c>
    </row>
    <row r="38" spans="1:6">
      <c r="A38" s="32" t="s">
        <v>153</v>
      </c>
      <c r="B38" s="37">
        <v>0</v>
      </c>
      <c r="C38" s="37">
        <v>0</v>
      </c>
      <c r="D38" s="35" t="s">
        <v>154</v>
      </c>
      <c r="E38" s="33">
        <f>SUM(E39:E41)</f>
        <v>0</v>
      </c>
      <c r="F38" s="33">
        <f>SUM(F39:F41)</f>
        <v>0</v>
      </c>
    </row>
    <row r="39" spans="1:6">
      <c r="A39" s="39" t="s">
        <v>155</v>
      </c>
      <c r="B39" s="37">
        <v>0</v>
      </c>
      <c r="C39" s="37">
        <v>0</v>
      </c>
      <c r="D39" s="38" t="s">
        <v>156</v>
      </c>
      <c r="E39" s="37">
        <v>0</v>
      </c>
      <c r="F39" s="37">
        <v>0</v>
      </c>
    </row>
    <row r="40" spans="1:6">
      <c r="A40" s="39" t="s">
        <v>157</v>
      </c>
      <c r="B40" s="37">
        <v>0</v>
      </c>
      <c r="C40" s="37">
        <v>0</v>
      </c>
      <c r="D40" s="38" t="s">
        <v>158</v>
      </c>
      <c r="E40" s="37">
        <v>0</v>
      </c>
      <c r="F40" s="37">
        <v>0</v>
      </c>
    </row>
    <row r="41" spans="1:6">
      <c r="A41" s="32" t="s">
        <v>159</v>
      </c>
      <c r="B41" s="33">
        <f>SUM(B42:B45)</f>
        <v>0</v>
      </c>
      <c r="C41" s="33">
        <f>SUM(C42:C45)</f>
        <v>0</v>
      </c>
      <c r="D41" s="38" t="s">
        <v>160</v>
      </c>
      <c r="E41" s="37">
        <v>0</v>
      </c>
      <c r="F41" s="37">
        <v>0</v>
      </c>
    </row>
    <row r="42" spans="1:6">
      <c r="A42" s="39" t="s">
        <v>161</v>
      </c>
      <c r="B42" s="37">
        <v>0</v>
      </c>
      <c r="C42" s="37">
        <v>0</v>
      </c>
      <c r="D42" s="35" t="s">
        <v>162</v>
      </c>
      <c r="E42" s="33">
        <f>SUM(E43:E45)</f>
        <v>0</v>
      </c>
      <c r="F42" s="33">
        <f>SUM(F43:F45)</f>
        <v>0</v>
      </c>
    </row>
    <row r="43" spans="1:6">
      <c r="A43" s="39" t="s">
        <v>163</v>
      </c>
      <c r="B43" s="37">
        <v>0</v>
      </c>
      <c r="C43" s="37">
        <v>0</v>
      </c>
      <c r="D43" s="38" t="s">
        <v>164</v>
      </c>
      <c r="E43" s="37">
        <v>0</v>
      </c>
      <c r="F43" s="37">
        <v>0</v>
      </c>
    </row>
    <row r="44" spans="1:6">
      <c r="A44" s="39" t="s">
        <v>165</v>
      </c>
      <c r="B44" s="37">
        <v>0</v>
      </c>
      <c r="C44" s="37">
        <v>0</v>
      </c>
      <c r="D44" s="38" t="s">
        <v>166</v>
      </c>
      <c r="E44" s="37">
        <v>0</v>
      </c>
      <c r="F44" s="37">
        <v>0</v>
      </c>
    </row>
    <row r="45" spans="1:6">
      <c r="A45" s="39" t="s">
        <v>167</v>
      </c>
      <c r="B45" s="37">
        <v>0</v>
      </c>
      <c r="C45" s="37">
        <v>0</v>
      </c>
      <c r="D45" s="38" t="s">
        <v>168</v>
      </c>
      <c r="E45" s="37">
        <v>0</v>
      </c>
      <c r="F45" s="37">
        <v>0</v>
      </c>
    </row>
    <row r="46" spans="1:6">
      <c r="A46" s="30"/>
      <c r="B46" s="30"/>
      <c r="C46" s="30"/>
      <c r="D46" s="30"/>
      <c r="E46" s="30"/>
      <c r="F46" s="30"/>
    </row>
    <row r="47" spans="1:6">
      <c r="A47" s="42" t="s">
        <v>169</v>
      </c>
      <c r="B47" s="43">
        <f>B9+B17+B25+B31+B38+B41</f>
        <v>174226789.49000004</v>
      </c>
      <c r="C47" s="43">
        <f>C9+C17+C25+C31+C38+C41</f>
        <v>231179719.03</v>
      </c>
      <c r="D47" s="31" t="s">
        <v>170</v>
      </c>
      <c r="E47" s="44">
        <f>E9+E19+E23+E26+E27+E31+E38+E42</f>
        <v>24904055.030000005</v>
      </c>
      <c r="F47" s="44">
        <f>F9+F19+F23+F26+F27+F31+F38+F42</f>
        <v>47374206.619999997</v>
      </c>
    </row>
    <row r="48" spans="1:6">
      <c r="A48" s="30"/>
      <c r="B48" s="30"/>
      <c r="C48" s="30"/>
      <c r="D48" s="30"/>
      <c r="E48" s="30"/>
      <c r="F48" s="30"/>
    </row>
    <row r="49" spans="1:6">
      <c r="A49" s="29" t="s">
        <v>171</v>
      </c>
      <c r="B49" s="30"/>
      <c r="C49" s="30"/>
      <c r="D49" s="31" t="s">
        <v>172</v>
      </c>
      <c r="E49" s="30"/>
      <c r="F49" s="30"/>
    </row>
    <row r="50" spans="1:6">
      <c r="A50" s="32" t="s">
        <v>173</v>
      </c>
      <c r="B50" s="37">
        <v>0</v>
      </c>
      <c r="C50" s="37">
        <v>0</v>
      </c>
      <c r="D50" s="35" t="s">
        <v>174</v>
      </c>
      <c r="E50" s="37">
        <v>0</v>
      </c>
      <c r="F50" s="37">
        <v>0</v>
      </c>
    </row>
    <row r="51" spans="1:6">
      <c r="A51" s="32" t="s">
        <v>175</v>
      </c>
      <c r="B51" s="37">
        <v>0</v>
      </c>
      <c r="C51" s="37">
        <v>0</v>
      </c>
      <c r="D51" s="35" t="s">
        <v>176</v>
      </c>
      <c r="E51" s="37">
        <v>0</v>
      </c>
      <c r="F51" s="37">
        <v>0</v>
      </c>
    </row>
    <row r="52" spans="1:6">
      <c r="A52" s="32" t="s">
        <v>177</v>
      </c>
      <c r="B52" s="37">
        <v>167369194.31999999</v>
      </c>
      <c r="C52" s="37">
        <v>94067197.129999995</v>
      </c>
      <c r="D52" s="35" t="s">
        <v>178</v>
      </c>
      <c r="E52" s="37">
        <v>0</v>
      </c>
      <c r="F52" s="37">
        <v>923411.22</v>
      </c>
    </row>
    <row r="53" spans="1:6">
      <c r="A53" s="32" t="s">
        <v>179</v>
      </c>
      <c r="B53" s="37">
        <v>70205369.730000004</v>
      </c>
      <c r="C53" s="37">
        <v>69922657.319999993</v>
      </c>
      <c r="D53" s="35" t="s">
        <v>180</v>
      </c>
      <c r="E53" s="37">
        <v>0</v>
      </c>
      <c r="F53" s="37">
        <v>0</v>
      </c>
    </row>
    <row r="54" spans="1:6">
      <c r="A54" s="32" t="s">
        <v>181</v>
      </c>
      <c r="B54" s="37">
        <v>109817.91</v>
      </c>
      <c r="C54" s="37">
        <v>109817.91</v>
      </c>
      <c r="D54" s="35" t="s">
        <v>182</v>
      </c>
      <c r="E54" s="37">
        <v>0</v>
      </c>
      <c r="F54" s="37">
        <v>0</v>
      </c>
    </row>
    <row r="55" spans="1:6">
      <c r="A55" s="32" t="s">
        <v>183</v>
      </c>
      <c r="B55" s="37">
        <v>-26047020.440000001</v>
      </c>
      <c r="C55" s="37">
        <v>-26047020.440000001</v>
      </c>
      <c r="D55" s="45" t="s">
        <v>184</v>
      </c>
      <c r="E55" s="37">
        <v>0</v>
      </c>
      <c r="F55" s="37">
        <v>0</v>
      </c>
    </row>
    <row r="56" spans="1:6">
      <c r="A56" s="32" t="s">
        <v>185</v>
      </c>
      <c r="B56" s="37">
        <v>777794.22</v>
      </c>
      <c r="C56" s="37">
        <v>777794.22</v>
      </c>
      <c r="D56" s="30"/>
      <c r="E56" s="30"/>
      <c r="F56" s="30"/>
    </row>
    <row r="57" spans="1:6">
      <c r="A57" s="32" t="s">
        <v>186</v>
      </c>
      <c r="B57" s="37">
        <v>0</v>
      </c>
      <c r="C57" s="37">
        <v>0</v>
      </c>
      <c r="D57" s="31" t="s">
        <v>187</v>
      </c>
      <c r="E57" s="43">
        <f>SUM(E50:E55)</f>
        <v>0</v>
      </c>
      <c r="F57" s="43">
        <f>SUM(F50:F55)</f>
        <v>923411.22</v>
      </c>
    </row>
    <row r="58" spans="1:6">
      <c r="A58" s="32" t="s">
        <v>188</v>
      </c>
      <c r="B58" s="37">
        <v>0</v>
      </c>
      <c r="C58" s="37">
        <v>0</v>
      </c>
      <c r="D58" s="30"/>
      <c r="E58" s="30"/>
      <c r="F58" s="30"/>
    </row>
    <row r="59" spans="1:6">
      <c r="A59" s="30"/>
      <c r="B59" s="30"/>
      <c r="C59" s="30"/>
      <c r="D59" s="31" t="s">
        <v>189</v>
      </c>
      <c r="E59" s="43">
        <f>E47+E57</f>
        <v>24904055.030000005</v>
      </c>
      <c r="F59" s="43">
        <f>F47+F57</f>
        <v>48297617.839999996</v>
      </c>
    </row>
    <row r="60" spans="1:6">
      <c r="A60" s="42" t="s">
        <v>190</v>
      </c>
      <c r="B60" s="43">
        <f>SUM(B50:B58)</f>
        <v>212415155.74000001</v>
      </c>
      <c r="C60" s="43">
        <f>SUM(C50:C58)</f>
        <v>138830446.13999999</v>
      </c>
      <c r="D60" s="30"/>
      <c r="E60" s="30"/>
      <c r="F60" s="30"/>
    </row>
    <row r="61" spans="1:6">
      <c r="A61" s="30"/>
      <c r="B61" s="30"/>
      <c r="C61" s="30"/>
      <c r="D61" s="46" t="s">
        <v>191</v>
      </c>
      <c r="E61" s="47"/>
      <c r="F61" s="47"/>
    </row>
    <row r="62" spans="1:6">
      <c r="A62" s="42" t="s">
        <v>192</v>
      </c>
      <c r="B62" s="43">
        <f>SUM(B47+B60)</f>
        <v>386641945.23000002</v>
      </c>
      <c r="C62" s="43">
        <f>SUM(C47+C60)</f>
        <v>370010165.16999996</v>
      </c>
      <c r="D62" s="30"/>
      <c r="E62" s="30"/>
      <c r="F62" s="30"/>
    </row>
    <row r="63" spans="1:6">
      <c r="A63" s="30"/>
      <c r="B63" s="30"/>
      <c r="C63" s="30"/>
      <c r="D63" s="48" t="s">
        <v>193</v>
      </c>
      <c r="E63" s="49">
        <f>SUM(E64:E66)</f>
        <v>18745395.52</v>
      </c>
      <c r="F63" s="49">
        <f>SUM(F64:F66)</f>
        <v>17929388.379999999</v>
      </c>
    </row>
    <row r="64" spans="1:6">
      <c r="A64" s="30"/>
      <c r="B64" s="30"/>
      <c r="C64" s="30"/>
      <c r="D64" s="50" t="s">
        <v>194</v>
      </c>
      <c r="E64" s="37">
        <v>18401494.84</v>
      </c>
      <c r="F64" s="37">
        <v>17721959.379999999</v>
      </c>
    </row>
    <row r="65" spans="1:6">
      <c r="A65" s="30"/>
      <c r="B65" s="30"/>
      <c r="C65" s="30"/>
      <c r="D65" s="51" t="s">
        <v>195</v>
      </c>
      <c r="E65" s="37">
        <v>343900.68</v>
      </c>
      <c r="F65" s="37">
        <v>207429</v>
      </c>
    </row>
    <row r="66" spans="1:6">
      <c r="A66" s="30"/>
      <c r="B66" s="30"/>
      <c r="C66" s="30"/>
      <c r="D66" s="50" t="s">
        <v>196</v>
      </c>
      <c r="E66" s="37">
        <v>0</v>
      </c>
      <c r="F66" s="37">
        <v>0</v>
      </c>
    </row>
    <row r="67" spans="1:6">
      <c r="A67" s="30"/>
      <c r="B67" s="30"/>
      <c r="C67" s="30"/>
      <c r="D67" s="30"/>
      <c r="E67" s="30"/>
      <c r="F67" s="30"/>
    </row>
    <row r="68" spans="1:6">
      <c r="A68" s="30"/>
      <c r="B68" s="30"/>
      <c r="C68" s="30"/>
      <c r="D68" s="48" t="s">
        <v>197</v>
      </c>
      <c r="E68" s="49">
        <f>SUM(E69:E73)</f>
        <v>342992494.68000001</v>
      </c>
      <c r="F68" s="49">
        <f>SUM(F69:F73)</f>
        <v>303783158.94999999</v>
      </c>
    </row>
    <row r="69" spans="1:6">
      <c r="A69" s="52"/>
      <c r="B69" s="30"/>
      <c r="C69" s="30"/>
      <c r="D69" s="50" t="s">
        <v>198</v>
      </c>
      <c r="E69" s="37">
        <v>57614085.32</v>
      </c>
      <c r="F69" s="37">
        <v>120211689.42</v>
      </c>
    </row>
    <row r="70" spans="1:6">
      <c r="A70" s="52"/>
      <c r="B70" s="30"/>
      <c r="C70" s="30"/>
      <c r="D70" s="50" t="s">
        <v>199</v>
      </c>
      <c r="E70" s="37">
        <v>285311298.06</v>
      </c>
      <c r="F70" s="37">
        <v>183504358.22999999</v>
      </c>
    </row>
    <row r="71" spans="1:6">
      <c r="A71" s="52"/>
      <c r="B71" s="30"/>
      <c r="C71" s="30"/>
      <c r="D71" s="50" t="s">
        <v>200</v>
      </c>
      <c r="E71" s="37">
        <v>0</v>
      </c>
      <c r="F71" s="37">
        <v>0</v>
      </c>
    </row>
    <row r="72" spans="1:6">
      <c r="A72" s="52"/>
      <c r="B72" s="30"/>
      <c r="C72" s="30"/>
      <c r="D72" s="50" t="s">
        <v>201</v>
      </c>
      <c r="E72" s="37">
        <v>0</v>
      </c>
      <c r="F72" s="37">
        <v>0</v>
      </c>
    </row>
    <row r="73" spans="1:6">
      <c r="A73" s="52"/>
      <c r="B73" s="30"/>
      <c r="C73" s="30"/>
      <c r="D73" s="50" t="s">
        <v>202</v>
      </c>
      <c r="E73" s="37">
        <v>67111.3</v>
      </c>
      <c r="F73" s="37">
        <v>67111.3</v>
      </c>
    </row>
    <row r="74" spans="1:6">
      <c r="A74" s="52"/>
      <c r="B74" s="30"/>
      <c r="C74" s="30"/>
      <c r="D74" s="30"/>
      <c r="E74" s="30"/>
      <c r="F74" s="30"/>
    </row>
    <row r="75" spans="1:6">
      <c r="A75" s="52"/>
      <c r="B75" s="30"/>
      <c r="C75" s="30"/>
      <c r="D75" s="48" t="s">
        <v>203</v>
      </c>
      <c r="E75" s="49">
        <f>E76+E77</f>
        <v>0</v>
      </c>
      <c r="F75" s="49">
        <f>F76+F77</f>
        <v>0</v>
      </c>
    </row>
    <row r="76" spans="1:6">
      <c r="A76" s="52"/>
      <c r="B76" s="30"/>
      <c r="C76" s="30"/>
      <c r="D76" s="35" t="s">
        <v>204</v>
      </c>
      <c r="E76" s="37">
        <v>0</v>
      </c>
      <c r="F76" s="37">
        <v>0</v>
      </c>
    </row>
    <row r="77" spans="1:6">
      <c r="A77" s="52"/>
      <c r="B77" s="30"/>
      <c r="C77" s="30"/>
      <c r="D77" s="35" t="s">
        <v>205</v>
      </c>
      <c r="E77" s="37">
        <v>0</v>
      </c>
      <c r="F77" s="37">
        <v>0</v>
      </c>
    </row>
    <row r="78" spans="1:6">
      <c r="A78" s="52"/>
      <c r="B78" s="30"/>
      <c r="C78" s="30"/>
      <c r="D78" s="30"/>
      <c r="E78" s="30"/>
      <c r="F78" s="30"/>
    </row>
    <row r="79" spans="1:6">
      <c r="A79" s="52"/>
      <c r="B79" s="30"/>
      <c r="C79" s="30"/>
      <c r="D79" s="31" t="s">
        <v>206</v>
      </c>
      <c r="E79" s="43">
        <f>E63+E68+E75</f>
        <v>361737890.19999999</v>
      </c>
      <c r="F79" s="43">
        <f>F63+F68+F75</f>
        <v>321712547.32999998</v>
      </c>
    </row>
    <row r="80" spans="1:6">
      <c r="A80" s="52"/>
      <c r="B80" s="30"/>
      <c r="C80" s="30"/>
      <c r="D80" s="30"/>
      <c r="E80" s="30"/>
      <c r="F80" s="30"/>
    </row>
    <row r="81" spans="1:6">
      <c r="A81" s="52"/>
      <c r="B81" s="30"/>
      <c r="C81" s="30"/>
      <c r="D81" s="31" t="s">
        <v>207</v>
      </c>
      <c r="E81" s="43">
        <f>E59+E79</f>
        <v>386641945.23000002</v>
      </c>
      <c r="F81" s="43">
        <f>F59+F79</f>
        <v>370010165.16999996</v>
      </c>
    </row>
    <row r="82" spans="1:6">
      <c r="A82" s="18"/>
      <c r="B82" s="17"/>
      <c r="C82" s="17"/>
      <c r="D82" s="17"/>
      <c r="E82" s="17"/>
      <c r="F82" s="17"/>
    </row>
    <row r="83" spans="1:6" hidden="1"/>
    <row r="84" spans="1:6" hidden="1"/>
    <row r="85" spans="1:6" hidden="1"/>
    <row r="86" spans="1:6" hidden="1"/>
    <row r="87" spans="1:6" hidden="1"/>
    <row r="88" spans="1:6" hidden="1"/>
    <row r="89" spans="1:6" hidden="1"/>
    <row r="90" spans="1:6" hidden="1"/>
    <row r="91" spans="1:6" hidden="1"/>
    <row r="92" spans="1:6" hidden="1"/>
    <row r="93" spans="1:6" hidden="1"/>
    <row r="94" spans="1:6" hidden="1"/>
    <row r="95" spans="1:6" hidden="1"/>
    <row r="96" spans="1: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B9:C62 E9:F45 E47:F47 E50:F81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A4" sqref="A4:H4"/>
    </sheetView>
  </sheetViews>
  <sheetFormatPr baseColWidth="10" defaultColWidth="0" defaultRowHeight="15" zeroHeight="1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20" customFormat="1" ht="26.25">
      <c r="A1" s="192" t="s">
        <v>208</v>
      </c>
      <c r="B1" s="192"/>
      <c r="C1" s="192"/>
      <c r="D1" s="192"/>
      <c r="E1" s="192"/>
      <c r="F1" s="192"/>
      <c r="G1" s="192"/>
      <c r="H1" s="192"/>
    </row>
    <row r="2" spans="1:9">
      <c r="A2" s="179" t="s">
        <v>629</v>
      </c>
      <c r="B2" s="180"/>
      <c r="C2" s="180"/>
      <c r="D2" s="180"/>
      <c r="E2" s="180"/>
      <c r="F2" s="180"/>
      <c r="G2" s="180"/>
      <c r="H2" s="181"/>
    </row>
    <row r="3" spans="1:9">
      <c r="A3" s="182" t="s">
        <v>209</v>
      </c>
      <c r="B3" s="183"/>
      <c r="C3" s="183"/>
      <c r="D3" s="183"/>
      <c r="E3" s="183"/>
      <c r="F3" s="183"/>
      <c r="G3" s="183"/>
      <c r="H3" s="184"/>
    </row>
    <row r="4" spans="1:9">
      <c r="A4" s="185" t="str">
        <f>PERIODO_INFORME</f>
        <v>Al 31 de diciembre de 2017 y al 30 de marzo de 2018 (b)</v>
      </c>
      <c r="B4" s="186"/>
      <c r="C4" s="186"/>
      <c r="D4" s="186"/>
      <c r="E4" s="186"/>
      <c r="F4" s="186"/>
      <c r="G4" s="186"/>
      <c r="H4" s="187"/>
    </row>
    <row r="5" spans="1:9">
      <c r="A5" s="188" t="s">
        <v>3</v>
      </c>
      <c r="B5" s="189"/>
      <c r="C5" s="189"/>
      <c r="D5" s="189"/>
      <c r="E5" s="189"/>
      <c r="F5" s="189"/>
      <c r="G5" s="189"/>
      <c r="H5" s="190"/>
    </row>
    <row r="6" spans="1:9" ht="45">
      <c r="A6" s="54" t="s">
        <v>210</v>
      </c>
      <c r="B6" s="55" t="str">
        <f>ULTIMO_SALDO</f>
        <v>Saldo al 31 de diciembre de 2017 (d)</v>
      </c>
      <c r="C6" s="54" t="s">
        <v>211</v>
      </c>
      <c r="D6" s="54" t="s">
        <v>212</v>
      </c>
      <c r="E6" s="54" t="s">
        <v>213</v>
      </c>
      <c r="F6" s="54" t="s">
        <v>214</v>
      </c>
      <c r="G6" s="54" t="s">
        <v>215</v>
      </c>
      <c r="H6" s="1" t="s">
        <v>216</v>
      </c>
      <c r="I6" s="56"/>
    </row>
    <row r="7" spans="1:9">
      <c r="A7" s="52"/>
      <c r="B7" s="52"/>
      <c r="C7" s="52"/>
      <c r="D7" s="52"/>
      <c r="E7" s="52"/>
      <c r="F7" s="52"/>
      <c r="G7" s="52"/>
      <c r="H7" s="52"/>
      <c r="I7" s="56"/>
    </row>
    <row r="8" spans="1:9">
      <c r="A8" s="57" t="s">
        <v>217</v>
      </c>
      <c r="B8" s="43">
        <f t="shared" ref="B8:H8" si="0">B9+B13</f>
        <v>923411.22</v>
      </c>
      <c r="C8" s="43">
        <f t="shared" si="0"/>
        <v>0</v>
      </c>
      <c r="D8" s="43">
        <f t="shared" si="0"/>
        <v>692558.31</v>
      </c>
      <c r="E8" s="43">
        <f t="shared" si="0"/>
        <v>0</v>
      </c>
      <c r="F8" s="43">
        <f t="shared" si="0"/>
        <v>230852.90999999992</v>
      </c>
      <c r="G8" s="43">
        <f t="shared" si="0"/>
        <v>0</v>
      </c>
      <c r="H8" s="43">
        <f t="shared" si="0"/>
        <v>0</v>
      </c>
    </row>
    <row r="9" spans="1:9">
      <c r="A9" s="58" t="s">
        <v>218</v>
      </c>
      <c r="B9" s="33">
        <f t="shared" ref="B9:H9" si="1">SUM(B10:B12)</f>
        <v>923411.22</v>
      </c>
      <c r="C9" s="33">
        <f t="shared" si="1"/>
        <v>0</v>
      </c>
      <c r="D9" s="33">
        <f t="shared" si="1"/>
        <v>692558.31</v>
      </c>
      <c r="E9" s="33">
        <f t="shared" si="1"/>
        <v>0</v>
      </c>
      <c r="F9" s="33">
        <f t="shared" si="1"/>
        <v>230852.90999999992</v>
      </c>
      <c r="G9" s="33">
        <f t="shared" si="1"/>
        <v>0</v>
      </c>
      <c r="H9" s="33">
        <f t="shared" si="1"/>
        <v>0</v>
      </c>
    </row>
    <row r="10" spans="1:9">
      <c r="A10" s="59" t="s">
        <v>219</v>
      </c>
      <c r="B10" s="60">
        <f>923411.22</f>
        <v>923411.22</v>
      </c>
      <c r="C10" s="60">
        <v>0</v>
      </c>
      <c r="D10" s="60">
        <v>692558.31</v>
      </c>
      <c r="E10" s="60">
        <v>0</v>
      </c>
      <c r="F10" s="60">
        <f>B10+C10-D10+E10</f>
        <v>230852.90999999992</v>
      </c>
      <c r="G10" s="60">
        <v>0</v>
      </c>
      <c r="H10" s="60">
        <v>0</v>
      </c>
    </row>
    <row r="11" spans="1:9">
      <c r="A11" s="59" t="s">
        <v>220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</row>
    <row r="12" spans="1:9">
      <c r="A12" s="59" t="s">
        <v>221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</row>
    <row r="13" spans="1:9">
      <c r="A13" s="58" t="s">
        <v>222</v>
      </c>
      <c r="B13" s="33">
        <f t="shared" ref="B13:H13" si="2">SUM(B14:B16)</f>
        <v>0</v>
      </c>
      <c r="C13" s="33">
        <f t="shared" si="2"/>
        <v>0</v>
      </c>
      <c r="D13" s="33">
        <f t="shared" si="2"/>
        <v>0</v>
      </c>
      <c r="E13" s="33">
        <f t="shared" si="2"/>
        <v>0</v>
      </c>
      <c r="F13" s="33">
        <f t="shared" si="2"/>
        <v>0</v>
      </c>
      <c r="G13" s="33">
        <f t="shared" si="2"/>
        <v>0</v>
      </c>
      <c r="H13" s="33">
        <f t="shared" si="2"/>
        <v>0</v>
      </c>
    </row>
    <row r="14" spans="1:9">
      <c r="A14" s="59" t="s">
        <v>223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</row>
    <row r="15" spans="1:9">
      <c r="A15" s="59" t="s">
        <v>224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</row>
    <row r="16" spans="1:9">
      <c r="A16" s="59" t="s">
        <v>225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</row>
    <row r="17" spans="1:8">
      <c r="A17" s="30"/>
      <c r="B17" s="52"/>
      <c r="C17" s="52"/>
      <c r="D17" s="52"/>
      <c r="E17" s="52"/>
      <c r="F17" s="52"/>
      <c r="G17" s="52"/>
      <c r="H17" s="52"/>
    </row>
    <row r="18" spans="1:8">
      <c r="A18" s="57" t="s">
        <v>226</v>
      </c>
      <c r="B18" s="61">
        <v>47374206.619999997</v>
      </c>
      <c r="C18" s="62"/>
      <c r="D18" s="62"/>
      <c r="E18" s="62"/>
      <c r="F18" s="43">
        <v>24673202.120000001</v>
      </c>
      <c r="G18" s="62"/>
      <c r="H18" s="62"/>
    </row>
    <row r="19" spans="1:8">
      <c r="A19" s="27"/>
      <c r="B19" s="63"/>
      <c r="C19" s="63"/>
      <c r="D19" s="63"/>
      <c r="E19" s="63"/>
      <c r="F19" s="63"/>
      <c r="G19" s="63"/>
      <c r="H19" s="63"/>
    </row>
    <row r="20" spans="1:8">
      <c r="A20" s="57" t="s">
        <v>227</v>
      </c>
      <c r="B20" s="43">
        <f t="shared" ref="B20:H20" si="3">B8+B18</f>
        <v>48297617.839999996</v>
      </c>
      <c r="C20" s="43">
        <f t="shared" si="3"/>
        <v>0</v>
      </c>
      <c r="D20" s="43">
        <f t="shared" si="3"/>
        <v>692558.31</v>
      </c>
      <c r="E20" s="43">
        <f t="shared" si="3"/>
        <v>0</v>
      </c>
      <c r="F20" s="43">
        <f t="shared" si="3"/>
        <v>24904055.030000001</v>
      </c>
      <c r="G20" s="43">
        <f t="shared" si="3"/>
        <v>0</v>
      </c>
      <c r="H20" s="43">
        <f t="shared" si="3"/>
        <v>0</v>
      </c>
    </row>
    <row r="21" spans="1:8">
      <c r="A21" s="30"/>
      <c r="B21" s="30"/>
      <c r="C21" s="30"/>
      <c r="D21" s="30"/>
      <c r="E21" s="30"/>
      <c r="F21" s="30"/>
      <c r="G21" s="30"/>
      <c r="H21" s="30"/>
    </row>
    <row r="22" spans="1:8" ht="17.25">
      <c r="A22" s="57" t="s">
        <v>228</v>
      </c>
      <c r="B22" s="172">
        <f>SUM(B23:DEUDA_CONT_FIN_01)</f>
        <v>0</v>
      </c>
      <c r="C22" s="172">
        <f>SUM(C23:DEUDA_CONT_FIN_02)</f>
        <v>0</v>
      </c>
      <c r="D22" s="172">
        <f>SUM(D23:DEUDA_CONT_FIN_03)</f>
        <v>0</v>
      </c>
      <c r="E22" s="172">
        <f>SUM(E23:DEUDA_CONT_FIN_04)</f>
        <v>0</v>
      </c>
      <c r="F22" s="172">
        <f>SUM(F23:DEUDA_CONT_FIN_05)</f>
        <v>0</v>
      </c>
      <c r="G22" s="172">
        <f>SUM(G23:DEUDA_CONT_FIN_06)</f>
        <v>0</v>
      </c>
      <c r="H22" s="172">
        <f>SUM(H23:DEUDA_CONT_FIN_07)</f>
        <v>0</v>
      </c>
    </row>
    <row r="23" spans="1:8" s="65" customFormat="1">
      <c r="A23" s="64" t="s">
        <v>229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</row>
    <row r="24" spans="1:8" s="65" customFormat="1">
      <c r="A24" s="64" t="s">
        <v>230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</row>
    <row r="25" spans="1:8" s="65" customFormat="1">
      <c r="A25" s="64" t="s">
        <v>231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</row>
    <row r="26" spans="1:8">
      <c r="A26" s="66" t="s">
        <v>232</v>
      </c>
      <c r="B26" s="30"/>
      <c r="C26" s="30"/>
      <c r="D26" s="30"/>
      <c r="E26" s="30"/>
      <c r="F26" s="30"/>
      <c r="G26" s="30"/>
      <c r="H26" s="30"/>
    </row>
    <row r="27" spans="1:8" ht="17.25">
      <c r="A27" s="57" t="s">
        <v>233</v>
      </c>
      <c r="B27" s="172">
        <f>SUM(B28:VALOR_INS_BCC_FIN_01)</f>
        <v>0</v>
      </c>
      <c r="C27" s="172">
        <f>SUM(C28:VALOR_INS_BCC_FIN_02)</f>
        <v>0</v>
      </c>
      <c r="D27" s="172">
        <f>SUM(D28:VALOR_INS_BCC_FIN_03)</f>
        <v>0</v>
      </c>
      <c r="E27" s="172">
        <f>SUM(E28:VALOR_INS_BCC_FIN_04)</f>
        <v>0</v>
      </c>
      <c r="F27" s="172">
        <f>SUM(F28:VALOR_INS_BCC_FIN_05)</f>
        <v>0</v>
      </c>
      <c r="G27" s="172">
        <f>SUM(G28:VALOR_INS_BCC_FIN_06)</f>
        <v>0</v>
      </c>
      <c r="H27" s="172">
        <f>SUM(H28:VALOR_INS_BCC_FIN_07)</f>
        <v>0</v>
      </c>
    </row>
    <row r="28" spans="1:8" s="65" customFormat="1">
      <c r="A28" s="64" t="s">
        <v>234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</row>
    <row r="29" spans="1:8" s="65" customFormat="1">
      <c r="A29" s="64" t="s">
        <v>235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</row>
    <row r="30" spans="1:8" s="65" customFormat="1">
      <c r="A30" s="64" t="s">
        <v>236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</row>
    <row r="31" spans="1:8">
      <c r="A31" s="67" t="s">
        <v>232</v>
      </c>
      <c r="B31" s="68"/>
      <c r="C31" s="68"/>
      <c r="D31" s="68"/>
      <c r="E31" s="68"/>
      <c r="F31" s="68"/>
      <c r="G31" s="68"/>
      <c r="H31" s="68"/>
    </row>
    <row r="32" spans="1:8">
      <c r="A32" s="20"/>
    </row>
    <row r="33" spans="1:8">
      <c r="A33" s="191" t="s">
        <v>237</v>
      </c>
      <c r="B33" s="191"/>
      <c r="C33" s="191"/>
      <c r="D33" s="191"/>
      <c r="E33" s="191"/>
      <c r="F33" s="191"/>
      <c r="G33" s="191"/>
      <c r="H33" s="191"/>
    </row>
    <row r="34" spans="1:8">
      <c r="A34" s="191"/>
      <c r="B34" s="191"/>
      <c r="C34" s="191"/>
      <c r="D34" s="191"/>
      <c r="E34" s="191"/>
      <c r="F34" s="191"/>
      <c r="G34" s="191"/>
      <c r="H34" s="191"/>
    </row>
    <row r="35" spans="1:8">
      <c r="A35" s="191"/>
      <c r="B35" s="191"/>
      <c r="C35" s="191"/>
      <c r="D35" s="191"/>
      <c r="E35" s="191"/>
      <c r="F35" s="191"/>
      <c r="G35" s="191"/>
      <c r="H35" s="191"/>
    </row>
    <row r="36" spans="1:8">
      <c r="A36" s="191"/>
      <c r="B36" s="191"/>
      <c r="C36" s="191"/>
      <c r="D36" s="191"/>
      <c r="E36" s="191"/>
      <c r="F36" s="191"/>
      <c r="G36" s="191"/>
      <c r="H36" s="191"/>
    </row>
    <row r="37" spans="1:8">
      <c r="A37" s="191"/>
      <c r="B37" s="191"/>
      <c r="C37" s="191"/>
      <c r="D37" s="191"/>
      <c r="E37" s="191"/>
      <c r="F37" s="191"/>
      <c r="G37" s="191"/>
      <c r="H37" s="191"/>
    </row>
    <row r="38" spans="1:8">
      <c r="A38" s="20"/>
    </row>
    <row r="39" spans="1:8" ht="30">
      <c r="A39" s="54" t="s">
        <v>238</v>
      </c>
      <c r="B39" s="54" t="s">
        <v>239</v>
      </c>
      <c r="C39" s="54" t="s">
        <v>240</v>
      </c>
      <c r="D39" s="54" t="s">
        <v>241</v>
      </c>
      <c r="E39" s="54" t="s">
        <v>242</v>
      </c>
      <c r="F39" s="1" t="s">
        <v>243</v>
      </c>
    </row>
    <row r="40" spans="1:8">
      <c r="A40" s="27"/>
      <c r="B40" s="63"/>
      <c r="C40" s="63"/>
      <c r="D40" s="63"/>
      <c r="E40" s="63"/>
      <c r="F40" s="63"/>
    </row>
    <row r="41" spans="1:8">
      <c r="A41" s="57" t="s">
        <v>244</v>
      </c>
      <c r="B41" s="171">
        <f>SUM(B42:OB_CORTO_PLAZO_FIN_01)</f>
        <v>0</v>
      </c>
      <c r="C41" s="171">
        <f>SUM(C42:OB_CORTO_PLAZO_FIN_02)</f>
        <v>0</v>
      </c>
      <c r="D41" s="171">
        <f>SUM(D42:OB_CORTO_PLAZO_FIN_03)</f>
        <v>0</v>
      </c>
      <c r="E41" s="171">
        <f>SUM(E42:OB_CORTO_PLAZO_FIN_04)</f>
        <v>0</v>
      </c>
      <c r="F41" s="171">
        <f>SUM(F42:OB_CORTO_PLAZO_FIN_05)</f>
        <v>0</v>
      </c>
    </row>
    <row r="42" spans="1:8" s="65" customFormat="1">
      <c r="A42" s="64" t="s">
        <v>245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</row>
    <row r="43" spans="1:8" s="65" customFormat="1">
      <c r="A43" s="64" t="s">
        <v>246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</row>
    <row r="44" spans="1:8" s="65" customFormat="1">
      <c r="A44" s="64" t="s">
        <v>247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</row>
    <row r="45" spans="1:8">
      <c r="A45" s="69" t="s">
        <v>232</v>
      </c>
      <c r="B45" s="18"/>
      <c r="C45" s="18"/>
      <c r="D45" s="18"/>
      <c r="E45" s="18"/>
      <c r="F45" s="18"/>
    </row>
    <row r="46" spans="1:8" hidden="1"/>
    <row r="47" spans="1:8"/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type="decimal" allowBlank="1" showInputMessage="1" showErrorMessage="1" sqref="B8:H30 B42:F44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A4" sqref="A4:K4"/>
    </sheetView>
  </sheetViews>
  <sheetFormatPr baseColWidth="10" defaultColWidth="0" defaultRowHeight="15" customHeight="1" zeroHeight="1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71" customFormat="1" ht="21">
      <c r="A1" s="178" t="s">
        <v>248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70"/>
    </row>
    <row r="2" spans="1:12">
      <c r="A2" s="179" t="s">
        <v>629</v>
      </c>
      <c r="B2" s="180"/>
      <c r="C2" s="180"/>
      <c r="D2" s="180"/>
      <c r="E2" s="180"/>
      <c r="F2" s="180"/>
      <c r="G2" s="180"/>
      <c r="H2" s="180"/>
      <c r="I2" s="180"/>
      <c r="J2" s="180"/>
      <c r="K2" s="181"/>
    </row>
    <row r="3" spans="1:12">
      <c r="A3" s="182" t="s">
        <v>249</v>
      </c>
      <c r="B3" s="183"/>
      <c r="C3" s="183"/>
      <c r="D3" s="183"/>
      <c r="E3" s="183"/>
      <c r="F3" s="183"/>
      <c r="G3" s="183"/>
      <c r="H3" s="183"/>
      <c r="I3" s="183"/>
      <c r="J3" s="183"/>
      <c r="K3" s="184"/>
    </row>
    <row r="4" spans="1:12">
      <c r="A4" s="185" t="s">
        <v>627</v>
      </c>
      <c r="B4" s="186"/>
      <c r="C4" s="186"/>
      <c r="D4" s="186"/>
      <c r="E4" s="186"/>
      <c r="F4" s="186"/>
      <c r="G4" s="186"/>
      <c r="H4" s="186"/>
      <c r="I4" s="186"/>
      <c r="J4" s="186"/>
      <c r="K4" s="187"/>
    </row>
    <row r="5" spans="1:12">
      <c r="A5" s="182" t="s">
        <v>3</v>
      </c>
      <c r="B5" s="183"/>
      <c r="C5" s="183"/>
      <c r="D5" s="183"/>
      <c r="E5" s="183"/>
      <c r="F5" s="183"/>
      <c r="G5" s="183"/>
      <c r="H5" s="183"/>
      <c r="I5" s="183"/>
      <c r="J5" s="183"/>
      <c r="K5" s="184"/>
    </row>
    <row r="6" spans="1:12" ht="75">
      <c r="A6" s="1" t="s">
        <v>250</v>
      </c>
      <c r="B6" s="1" t="s">
        <v>251</v>
      </c>
      <c r="C6" s="1" t="s">
        <v>252</v>
      </c>
      <c r="D6" s="1" t="s">
        <v>253</v>
      </c>
      <c r="E6" s="1" t="s">
        <v>254</v>
      </c>
      <c r="F6" s="1" t="s">
        <v>255</v>
      </c>
      <c r="G6" s="1" t="s">
        <v>256</v>
      </c>
      <c r="H6" s="1" t="s">
        <v>257</v>
      </c>
      <c r="I6" s="23" t="str">
        <f>MONTO1</f>
        <v>Monto pagado de la inversión al 30 de marzo de 2018 (k)</v>
      </c>
      <c r="J6" s="23" t="str">
        <f>MONTO2</f>
        <v>Monto pagado de la inversión actualizado al 30 de marzo de 2018 (l)</v>
      </c>
      <c r="K6" s="23" t="str">
        <f>SALDO_PENDIENTE</f>
        <v>Saldo pendiente por pagar de la inversión al 30 de marzo de 2018 (m = g – l)</v>
      </c>
    </row>
    <row r="7" spans="1:12">
      <c r="A7" s="72"/>
      <c r="B7" s="63"/>
      <c r="C7" s="63"/>
      <c r="D7" s="63"/>
      <c r="E7" s="63"/>
      <c r="F7" s="63"/>
      <c r="G7" s="63"/>
      <c r="H7" s="63"/>
      <c r="I7" s="63"/>
      <c r="J7" s="63"/>
      <c r="K7" s="63"/>
    </row>
    <row r="8" spans="1:12">
      <c r="A8" s="29" t="s">
        <v>258</v>
      </c>
      <c r="B8" s="73"/>
      <c r="C8" s="73"/>
      <c r="D8" s="73"/>
      <c r="E8" s="44">
        <f>SUM(E9:APP_FIN_04)</f>
        <v>0</v>
      </c>
      <c r="F8" s="73"/>
      <c r="G8" s="172">
        <f>SUM(G9:APP_FIN_06)</f>
        <v>0</v>
      </c>
      <c r="H8" s="172">
        <f>SUM(H9:APP_FIN_07)</f>
        <v>0</v>
      </c>
      <c r="I8" s="172">
        <f>SUM(I9:APP_FIN_08)</f>
        <v>0</v>
      </c>
      <c r="J8" s="172">
        <f>SUM(J9:APP_FIN_09)</f>
        <v>0</v>
      </c>
      <c r="K8" s="172">
        <f>SUM(K9:APP_FIN_10)</f>
        <v>0</v>
      </c>
    </row>
    <row r="9" spans="1:12" s="65" customFormat="1">
      <c r="A9" s="74" t="s">
        <v>259</v>
      </c>
      <c r="B9" s="75"/>
      <c r="C9" s="75"/>
      <c r="D9" s="75"/>
      <c r="E9" s="76">
        <v>0</v>
      </c>
      <c r="F9" s="76">
        <v>0</v>
      </c>
      <c r="G9" s="76">
        <v>0</v>
      </c>
      <c r="H9" s="76">
        <v>0</v>
      </c>
      <c r="I9" s="76">
        <v>0</v>
      </c>
      <c r="J9" s="76">
        <v>0</v>
      </c>
      <c r="K9" s="34">
        <f>E9-J9</f>
        <v>0</v>
      </c>
    </row>
    <row r="10" spans="1:12" s="65" customFormat="1">
      <c r="A10" s="74" t="s">
        <v>260</v>
      </c>
      <c r="B10" s="75"/>
      <c r="C10" s="75"/>
      <c r="D10" s="75"/>
      <c r="E10" s="76">
        <v>0</v>
      </c>
      <c r="F10" s="76">
        <v>0</v>
      </c>
      <c r="G10" s="76">
        <v>0</v>
      </c>
      <c r="H10" s="76">
        <v>0</v>
      </c>
      <c r="I10" s="76">
        <v>0</v>
      </c>
      <c r="J10" s="76">
        <v>0</v>
      </c>
      <c r="K10" s="34">
        <f t="shared" ref="K10:K12" si="0">E10-J10</f>
        <v>0</v>
      </c>
    </row>
    <row r="11" spans="1:12" s="65" customFormat="1">
      <c r="A11" s="74" t="s">
        <v>261</v>
      </c>
      <c r="B11" s="75"/>
      <c r="C11" s="75"/>
      <c r="D11" s="75"/>
      <c r="E11" s="76">
        <v>0</v>
      </c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34">
        <f t="shared" si="0"/>
        <v>0</v>
      </c>
    </row>
    <row r="12" spans="1:12" s="65" customFormat="1">
      <c r="A12" s="74" t="s">
        <v>262</v>
      </c>
      <c r="B12" s="75"/>
      <c r="C12" s="75"/>
      <c r="D12" s="75"/>
      <c r="E12" s="76">
        <v>0</v>
      </c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34">
        <f t="shared" si="0"/>
        <v>0</v>
      </c>
    </row>
    <row r="13" spans="1:12">
      <c r="A13" s="77" t="s">
        <v>232</v>
      </c>
      <c r="B13" s="78"/>
      <c r="C13" s="78"/>
      <c r="D13" s="78"/>
      <c r="E13" s="30"/>
      <c r="F13" s="30"/>
      <c r="G13" s="173"/>
      <c r="H13" s="173"/>
      <c r="I13" s="173"/>
      <c r="J13" s="173"/>
      <c r="K13" s="173"/>
    </row>
    <row r="14" spans="1:12">
      <c r="A14" s="29" t="s">
        <v>263</v>
      </c>
      <c r="B14" s="73"/>
      <c r="C14" s="73"/>
      <c r="D14" s="73"/>
      <c r="E14" s="44">
        <f>SUM(E15:OTROS_FIN_04)</f>
        <v>0</v>
      </c>
      <c r="F14" s="73"/>
      <c r="G14" s="172">
        <f>SUM(G15:OTROS_FIN_06)</f>
        <v>0</v>
      </c>
      <c r="H14" s="172">
        <f>SUM(H15:OTROS_FIN_07)</f>
        <v>0</v>
      </c>
      <c r="I14" s="172">
        <f>SUM(I15:OTROS_FIN_08)</f>
        <v>0</v>
      </c>
      <c r="J14" s="172">
        <f>SUM(J15:OTROS_FIN_09)</f>
        <v>0</v>
      </c>
      <c r="K14" s="172">
        <f>SUM(K15:OTROS_FIN_10)</f>
        <v>0</v>
      </c>
    </row>
    <row r="15" spans="1:12" s="65" customFormat="1">
      <c r="A15" s="74" t="s">
        <v>264</v>
      </c>
      <c r="B15" s="75"/>
      <c r="C15" s="75"/>
      <c r="D15" s="75"/>
      <c r="E15" s="76">
        <v>0</v>
      </c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34">
        <f>E15-J15</f>
        <v>0</v>
      </c>
    </row>
    <row r="16" spans="1:12" s="65" customFormat="1">
      <c r="A16" s="74" t="s">
        <v>265</v>
      </c>
      <c r="B16" s="75"/>
      <c r="C16" s="75"/>
      <c r="D16" s="75"/>
      <c r="E16" s="76">
        <v>0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34">
        <f t="shared" ref="K16:K18" si="1">E16-J16</f>
        <v>0</v>
      </c>
    </row>
    <row r="17" spans="1:11" s="65" customFormat="1">
      <c r="A17" s="74" t="s">
        <v>266</v>
      </c>
      <c r="B17" s="75"/>
      <c r="C17" s="75"/>
      <c r="D17" s="75"/>
      <c r="E17" s="76">
        <v>0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34">
        <f t="shared" si="1"/>
        <v>0</v>
      </c>
    </row>
    <row r="18" spans="1:11" s="65" customFormat="1">
      <c r="A18" s="74" t="s">
        <v>267</v>
      </c>
      <c r="B18" s="75"/>
      <c r="C18" s="75"/>
      <c r="D18" s="75"/>
      <c r="E18" s="76">
        <v>0</v>
      </c>
      <c r="F18" s="76">
        <v>0</v>
      </c>
      <c r="G18" s="76">
        <v>0</v>
      </c>
      <c r="H18" s="76">
        <v>0</v>
      </c>
      <c r="I18" s="76">
        <v>0</v>
      </c>
      <c r="J18" s="76">
        <v>0</v>
      </c>
      <c r="K18" s="34">
        <f t="shared" si="1"/>
        <v>0</v>
      </c>
    </row>
    <row r="19" spans="1:11">
      <c r="A19" s="77" t="s">
        <v>232</v>
      </c>
      <c r="B19" s="78"/>
      <c r="C19" s="78"/>
      <c r="D19" s="78"/>
      <c r="E19" s="30"/>
      <c r="F19" s="30"/>
      <c r="G19" s="30"/>
      <c r="H19" s="30"/>
      <c r="I19" s="30"/>
      <c r="J19" s="30"/>
      <c r="K19" s="30"/>
    </row>
    <row r="20" spans="1:11">
      <c r="A20" s="29" t="s">
        <v>268</v>
      </c>
      <c r="B20" s="73"/>
      <c r="C20" s="73"/>
      <c r="D20" s="73"/>
      <c r="E20" s="44">
        <f>APP_T4+OTROS_T4</f>
        <v>0</v>
      </c>
      <c r="F20" s="73"/>
      <c r="G20" s="172">
        <f>APP_T6+OTROS_T6</f>
        <v>0</v>
      </c>
      <c r="H20" s="172">
        <f>APP_T7+OTROS_T7</f>
        <v>0</v>
      </c>
      <c r="I20" s="172">
        <f>APP_T8+OTROS_T8</f>
        <v>0</v>
      </c>
      <c r="J20" s="172">
        <f>APP_T9+OTROS_T9</f>
        <v>0</v>
      </c>
      <c r="K20" s="172">
        <f>APP_T10+OTROS_T10</f>
        <v>0</v>
      </c>
    </row>
    <row r="21" spans="1:11">
      <c r="A21" s="79"/>
      <c r="B21" s="68"/>
      <c r="C21" s="68"/>
      <c r="D21" s="68"/>
      <c r="E21" s="68"/>
      <c r="F21" s="68"/>
      <c r="G21" s="68"/>
      <c r="H21" s="68"/>
      <c r="I21" s="68"/>
      <c r="J21" s="68"/>
      <c r="K21" s="68"/>
    </row>
  </sheetData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9:D12 B15:D18">
      <formula1>36526</formula1>
    </dataValidation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workbookViewId="0">
      <selection activeCell="A4" sqref="A4:D4"/>
    </sheetView>
  </sheetViews>
  <sheetFormatPr baseColWidth="10" defaultColWidth="0" defaultRowHeight="15" zeroHeight="1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71" customFormat="1" ht="37.5" customHeight="1">
      <c r="A1" s="178" t="s">
        <v>269</v>
      </c>
      <c r="B1" s="178"/>
      <c r="C1" s="178"/>
      <c r="D1" s="178"/>
      <c r="E1" s="70"/>
      <c r="F1" s="70"/>
      <c r="G1" s="70"/>
      <c r="H1" s="70"/>
      <c r="I1" s="70"/>
      <c r="J1" s="70"/>
      <c r="K1" s="70"/>
    </row>
    <row r="2" spans="1:11">
      <c r="A2" s="179" t="s">
        <v>629</v>
      </c>
      <c r="B2" s="180"/>
      <c r="C2" s="180"/>
      <c r="D2" s="181"/>
    </row>
    <row r="3" spans="1:11">
      <c r="A3" s="182" t="s">
        <v>270</v>
      </c>
      <c r="B3" s="183"/>
      <c r="C3" s="183"/>
      <c r="D3" s="184"/>
    </row>
    <row r="4" spans="1:11">
      <c r="A4" s="185" t="s">
        <v>627</v>
      </c>
      <c r="B4" s="186"/>
      <c r="C4" s="186"/>
      <c r="D4" s="187"/>
    </row>
    <row r="5" spans="1:11">
      <c r="A5" s="188" t="s">
        <v>3</v>
      </c>
      <c r="B5" s="189"/>
      <c r="C5" s="189"/>
      <c r="D5" s="190"/>
    </row>
    <row r="6" spans="1:11"/>
    <row r="7" spans="1:11" ht="39" customHeight="1">
      <c r="A7" s="80" t="s">
        <v>4</v>
      </c>
      <c r="B7" s="1" t="s">
        <v>271</v>
      </c>
      <c r="C7" s="1" t="s">
        <v>10</v>
      </c>
      <c r="D7" s="1" t="s">
        <v>272</v>
      </c>
    </row>
    <row r="8" spans="1:11">
      <c r="A8" s="42" t="s">
        <v>273</v>
      </c>
      <c r="B8" s="81">
        <f>SUM(B9:B11)</f>
        <v>450448112.87000006</v>
      </c>
      <c r="C8" s="81">
        <f>SUM(C9:C11)</f>
        <v>197554821.27999997</v>
      </c>
      <c r="D8" s="81">
        <f>SUM(D9:D11)</f>
        <v>197554821.27999997</v>
      </c>
    </row>
    <row r="9" spans="1:11">
      <c r="A9" s="82" t="s">
        <v>274</v>
      </c>
      <c r="B9" s="83">
        <f>'Formato 5'!B41</f>
        <v>190120006.28999999</v>
      </c>
      <c r="C9" s="83">
        <f>'Formato 5'!E41</f>
        <v>57341535.749999993</v>
      </c>
      <c r="D9" s="83">
        <f>'Formato 5'!F41</f>
        <v>57341535.749999993</v>
      </c>
    </row>
    <row r="10" spans="1:11">
      <c r="A10" s="82" t="s">
        <v>275</v>
      </c>
      <c r="B10" s="83">
        <f>'Formato 5'!B65</f>
        <v>242751517.66000003</v>
      </c>
      <c r="C10" s="83">
        <f>'Formato 5'!E65</f>
        <v>51584748.700000003</v>
      </c>
      <c r="D10" s="83">
        <f>'Formato 5'!F65</f>
        <v>51584748.700000003</v>
      </c>
    </row>
    <row r="11" spans="1:11">
      <c r="A11" s="82" t="s">
        <v>276</v>
      </c>
      <c r="B11" s="83">
        <f>B44</f>
        <v>17576588.920000002</v>
      </c>
      <c r="C11" s="84">
        <f t="shared" ref="C11" si="0">C44</f>
        <v>88628536.829999998</v>
      </c>
      <c r="D11" s="84">
        <f>D44</f>
        <v>88628536.829999998</v>
      </c>
    </row>
    <row r="12" spans="1:11">
      <c r="A12" s="32"/>
      <c r="B12" s="52"/>
      <c r="C12" s="52"/>
      <c r="D12" s="52"/>
    </row>
    <row r="13" spans="1:11">
      <c r="A13" s="42" t="s">
        <v>277</v>
      </c>
      <c r="B13" s="81">
        <f>B14+B15</f>
        <v>452871523.95000005</v>
      </c>
      <c r="C13" s="81">
        <f>C14+C15</f>
        <v>139807412.53999999</v>
      </c>
      <c r="D13" s="81">
        <f>D14+D15</f>
        <v>115316443.06</v>
      </c>
    </row>
    <row r="14" spans="1:11">
      <c r="A14" s="82" t="s">
        <v>278</v>
      </c>
      <c r="B14" s="83">
        <f>'Formato 6 a)'!B9</f>
        <v>210120006.28999999</v>
      </c>
      <c r="C14" s="83">
        <f>'Formato 6 a)'!E9</f>
        <v>42737563.199999996</v>
      </c>
      <c r="D14" s="83">
        <f>'Formato 6 a)'!F9</f>
        <v>38637756.390000001</v>
      </c>
    </row>
    <row r="15" spans="1:11">
      <c r="A15" s="82" t="s">
        <v>279</v>
      </c>
      <c r="B15" s="83">
        <f>'Formato 6 a)'!B84</f>
        <v>242751517.66000006</v>
      </c>
      <c r="C15" s="83">
        <v>97069849.339999989</v>
      </c>
      <c r="D15" s="83">
        <v>76678686.670000002</v>
      </c>
    </row>
    <row r="16" spans="1:11">
      <c r="A16" s="32"/>
      <c r="B16" s="52"/>
      <c r="C16" s="52"/>
      <c r="D16" s="52"/>
    </row>
    <row r="17" spans="1:4">
      <c r="A17" s="42" t="s">
        <v>280</v>
      </c>
      <c r="B17" s="85">
        <f>B18+B19</f>
        <v>0</v>
      </c>
      <c r="C17" s="81">
        <f>C18+C19</f>
        <v>89321095.140000001</v>
      </c>
      <c r="D17" s="81">
        <f>D18+D19</f>
        <v>89321095.140000001</v>
      </c>
    </row>
    <row r="18" spans="1:4">
      <c r="A18" s="82" t="s">
        <v>281</v>
      </c>
      <c r="B18" s="86">
        <v>0</v>
      </c>
      <c r="C18" s="83">
        <f>'Formato 5'!E73</f>
        <v>7338943.3600000003</v>
      </c>
      <c r="D18" s="83">
        <f>'Formato 5'!F73</f>
        <v>7338943.3600000003</v>
      </c>
    </row>
    <row r="19" spans="1:4">
      <c r="A19" s="82" t="s">
        <v>282</v>
      </c>
      <c r="B19" s="86">
        <v>0</v>
      </c>
      <c r="C19" s="83">
        <f>'Formato 5'!E74</f>
        <v>81982151.780000001</v>
      </c>
      <c r="D19" s="83">
        <f>'Formato 5'!F74</f>
        <v>81982151.780000001</v>
      </c>
    </row>
    <row r="20" spans="1:4">
      <c r="A20" s="32"/>
      <c r="B20" s="52"/>
      <c r="C20" s="52"/>
      <c r="D20" s="52"/>
    </row>
    <row r="21" spans="1:4">
      <c r="A21" s="42" t="s">
        <v>283</v>
      </c>
      <c r="B21" s="81">
        <f>B8-B13+B17</f>
        <v>-2423411.0799999833</v>
      </c>
      <c r="C21" s="81">
        <f>C8-C13+C17</f>
        <v>147068503.88</v>
      </c>
      <c r="D21" s="81">
        <f>D8-D13+D17</f>
        <v>171559473.35999995</v>
      </c>
    </row>
    <row r="22" spans="1:4">
      <c r="A22" s="42"/>
      <c r="B22" s="52"/>
      <c r="C22" s="52"/>
      <c r="D22" s="52"/>
    </row>
    <row r="23" spans="1:4">
      <c r="A23" s="42" t="s">
        <v>284</v>
      </c>
      <c r="B23" s="81">
        <f>B21-B11</f>
        <v>-19999999.999999985</v>
      </c>
      <c r="C23" s="81">
        <f>C21-C11</f>
        <v>58439967.049999997</v>
      </c>
      <c r="D23" s="81">
        <f>D21-D11</f>
        <v>82930936.529999956</v>
      </c>
    </row>
    <row r="24" spans="1:4">
      <c r="A24" s="42"/>
      <c r="B24" s="87"/>
      <c r="C24" s="87"/>
      <c r="D24" s="87"/>
    </row>
    <row r="25" spans="1:4">
      <c r="A25" s="88" t="s">
        <v>285</v>
      </c>
      <c r="B25" s="81">
        <f>B23-B17</f>
        <v>-19999999.999999985</v>
      </c>
      <c r="C25" s="81">
        <f>C23-C17</f>
        <v>-30881128.090000004</v>
      </c>
      <c r="D25" s="81">
        <f>D23-D17</f>
        <v>-6390158.6100000441</v>
      </c>
    </row>
    <row r="26" spans="1:4">
      <c r="A26" s="89"/>
      <c r="B26" s="68"/>
      <c r="C26" s="68"/>
      <c r="D26" s="68"/>
    </row>
    <row r="27" spans="1:4">
      <c r="A27" s="20"/>
    </row>
    <row r="28" spans="1:4" ht="30" customHeight="1">
      <c r="A28" s="80" t="s">
        <v>286</v>
      </c>
      <c r="B28" s="1" t="s">
        <v>287</v>
      </c>
      <c r="C28" s="1" t="s">
        <v>10</v>
      </c>
      <c r="D28" s="1" t="s">
        <v>288</v>
      </c>
    </row>
    <row r="29" spans="1:4">
      <c r="A29" s="42" t="s">
        <v>289</v>
      </c>
      <c r="B29" s="43">
        <f>B30+B31</f>
        <v>1500000</v>
      </c>
      <c r="C29" s="43">
        <f>C30+C31</f>
        <v>0</v>
      </c>
      <c r="D29" s="43">
        <f>D30+D31</f>
        <v>0</v>
      </c>
    </row>
    <row r="30" spans="1:4">
      <c r="A30" s="82" t="s">
        <v>290</v>
      </c>
      <c r="B30" s="33">
        <f>'Formato 6 a)'!B77</f>
        <v>0</v>
      </c>
      <c r="C30" s="33">
        <f>'Formato 6 a)'!E77</f>
        <v>0</v>
      </c>
      <c r="D30" s="33">
        <f>'Formato 6 a)'!F77</f>
        <v>0</v>
      </c>
    </row>
    <row r="31" spans="1:4">
      <c r="A31" s="82" t="s">
        <v>291</v>
      </c>
      <c r="B31" s="33">
        <f>'Formato 6 a)'!B152</f>
        <v>1500000</v>
      </c>
      <c r="C31" s="33">
        <f>'Formato 6 a)'!E152</f>
        <v>0</v>
      </c>
      <c r="D31" s="33">
        <f>'Formato 6 a)'!F152</f>
        <v>0</v>
      </c>
    </row>
    <row r="32" spans="1:4">
      <c r="A32" s="30"/>
      <c r="B32" s="30"/>
      <c r="C32" s="30"/>
      <c r="D32" s="30"/>
    </row>
    <row r="33" spans="1:4">
      <c r="A33" s="42" t="s">
        <v>292</v>
      </c>
      <c r="B33" s="43">
        <f>B25+B29</f>
        <v>-18499999.999999985</v>
      </c>
      <c r="C33" s="43">
        <f>C25+C29</f>
        <v>-30881128.090000004</v>
      </c>
      <c r="D33" s="43">
        <f>D25+D29</f>
        <v>-6390158.6100000441</v>
      </c>
    </row>
    <row r="34" spans="1:4">
      <c r="A34" s="79"/>
      <c r="B34" s="79"/>
      <c r="C34" s="79"/>
      <c r="D34" s="79"/>
    </row>
    <row r="35" spans="1:4">
      <c r="A35" s="20"/>
    </row>
    <row r="36" spans="1:4" ht="30">
      <c r="A36" s="80" t="s">
        <v>286</v>
      </c>
      <c r="B36" s="1" t="s">
        <v>293</v>
      </c>
      <c r="C36" s="1" t="s">
        <v>10</v>
      </c>
      <c r="D36" s="1" t="s">
        <v>272</v>
      </c>
    </row>
    <row r="37" spans="1:4">
      <c r="A37" s="42" t="s">
        <v>294</v>
      </c>
      <c r="B37" s="43">
        <f>B38+B39</f>
        <v>20000000</v>
      </c>
      <c r="C37" s="43">
        <f>C38+C39</f>
        <v>89321095.140000001</v>
      </c>
      <c r="D37" s="43">
        <f>D38+D39</f>
        <v>89321095.140000001</v>
      </c>
    </row>
    <row r="38" spans="1:4">
      <c r="A38" s="82" t="s">
        <v>295</v>
      </c>
      <c r="B38" s="33">
        <f>'Formato 5'!B73</f>
        <v>20000000</v>
      </c>
      <c r="C38" s="33">
        <f>'Formato 5'!E73</f>
        <v>7338943.3600000003</v>
      </c>
      <c r="D38" s="33">
        <f>'Formato 5'!F73</f>
        <v>7338943.3600000003</v>
      </c>
    </row>
    <row r="39" spans="1:4">
      <c r="A39" s="82" t="s">
        <v>296</v>
      </c>
      <c r="B39" s="33">
        <f>'Formato 5'!B74</f>
        <v>0</v>
      </c>
      <c r="C39" s="33">
        <f>'Formato 5'!E74</f>
        <v>81982151.780000001</v>
      </c>
      <c r="D39" s="33">
        <f>'Formato 5'!F74</f>
        <v>81982151.780000001</v>
      </c>
    </row>
    <row r="40" spans="1:4">
      <c r="A40" s="42" t="s">
        <v>297</v>
      </c>
      <c r="B40" s="43">
        <f>B41+B42</f>
        <v>2423411.08</v>
      </c>
      <c r="C40" s="43">
        <f>C41+C42</f>
        <v>692558.31</v>
      </c>
      <c r="D40" s="43">
        <f>D41+D42</f>
        <v>692558.31</v>
      </c>
    </row>
    <row r="41" spans="1:4">
      <c r="A41" s="82" t="s">
        <v>298</v>
      </c>
      <c r="B41" s="43">
        <f>'Formato 6 a)'!B76</f>
        <v>0</v>
      </c>
      <c r="C41" s="33">
        <f>'Formato 6 a)'!E76</f>
        <v>0</v>
      </c>
      <c r="D41" s="33">
        <f>'Formato 6 a)'!F72</f>
        <v>0</v>
      </c>
    </row>
    <row r="42" spans="1:4">
      <c r="A42" s="82" t="s">
        <v>299</v>
      </c>
      <c r="B42" s="33">
        <f>'Formato 6 a)'!B151</f>
        <v>2423411.08</v>
      </c>
      <c r="C42" s="33">
        <f>'Formato 6 a)'!E151</f>
        <v>692558.31</v>
      </c>
      <c r="D42" s="33">
        <f>'Formato 6 a)'!F151</f>
        <v>692558.31</v>
      </c>
    </row>
    <row r="43" spans="1:4">
      <c r="A43" s="30"/>
      <c r="B43" s="30"/>
      <c r="C43" s="30"/>
      <c r="D43" s="30"/>
    </row>
    <row r="44" spans="1:4">
      <c r="A44" s="42" t="s">
        <v>300</v>
      </c>
      <c r="B44" s="43">
        <f>B37-B40</f>
        <v>17576588.920000002</v>
      </c>
      <c r="C44" s="43">
        <f>C37-C40</f>
        <v>88628536.829999998</v>
      </c>
      <c r="D44" s="43">
        <f>D37-D40</f>
        <v>88628536.829999998</v>
      </c>
    </row>
    <row r="45" spans="1:4">
      <c r="A45" s="90"/>
      <c r="B45" s="79"/>
      <c r="C45" s="79"/>
      <c r="D45" s="79"/>
    </row>
    <row r="46" spans="1:4"/>
    <row r="47" spans="1:4" ht="30">
      <c r="A47" s="80" t="s">
        <v>286</v>
      </c>
      <c r="B47" s="1" t="s">
        <v>293</v>
      </c>
      <c r="C47" s="1" t="s">
        <v>10</v>
      </c>
      <c r="D47" s="1" t="s">
        <v>272</v>
      </c>
    </row>
    <row r="48" spans="1:4">
      <c r="A48" s="91" t="s">
        <v>301</v>
      </c>
      <c r="B48" s="92">
        <f>B9</f>
        <v>190120006.28999999</v>
      </c>
      <c r="C48" s="92">
        <f>C9</f>
        <v>57341535.749999993</v>
      </c>
      <c r="D48" s="92">
        <f>D9</f>
        <v>57341535.749999993</v>
      </c>
    </row>
    <row r="49" spans="1:4">
      <c r="A49" s="93" t="s">
        <v>302</v>
      </c>
      <c r="B49" s="43">
        <f>B50-B51</f>
        <v>20000000</v>
      </c>
      <c r="C49" s="43">
        <f>C50-C51</f>
        <v>7338943.3600000003</v>
      </c>
      <c r="D49" s="43">
        <f>D50-D51</f>
        <v>7338943.3600000003</v>
      </c>
    </row>
    <row r="50" spans="1:4">
      <c r="A50" s="94" t="s">
        <v>295</v>
      </c>
      <c r="B50" s="33">
        <f>B38</f>
        <v>20000000</v>
      </c>
      <c r="C50" s="33">
        <f>C38</f>
        <v>7338943.3600000003</v>
      </c>
      <c r="D50" s="33">
        <f>D38</f>
        <v>7338943.3600000003</v>
      </c>
    </row>
    <row r="51" spans="1:4">
      <c r="A51" s="94" t="s">
        <v>298</v>
      </c>
      <c r="B51" s="33">
        <f>B41</f>
        <v>0</v>
      </c>
      <c r="C51" s="33">
        <f>C41</f>
        <v>0</v>
      </c>
      <c r="D51" s="33">
        <f>D41</f>
        <v>0</v>
      </c>
    </row>
    <row r="52" spans="1:4">
      <c r="A52" s="30"/>
      <c r="B52" s="30"/>
      <c r="C52" s="30"/>
      <c r="D52" s="30"/>
    </row>
    <row r="53" spans="1:4">
      <c r="A53" s="82" t="s">
        <v>278</v>
      </c>
      <c r="B53" s="33">
        <f>B14</f>
        <v>210120006.28999999</v>
      </c>
      <c r="C53" s="33">
        <f>C14</f>
        <v>42737563.199999996</v>
      </c>
      <c r="D53" s="33">
        <f>D14</f>
        <v>38637756.390000001</v>
      </c>
    </row>
    <row r="54" spans="1:4">
      <c r="A54" s="30"/>
      <c r="B54" s="30"/>
      <c r="C54" s="30"/>
      <c r="D54" s="30"/>
    </row>
    <row r="55" spans="1:4">
      <c r="A55" s="82" t="s">
        <v>281</v>
      </c>
      <c r="B55" s="95">
        <f>B18</f>
        <v>0</v>
      </c>
      <c r="C55" s="34">
        <f t="shared" ref="C55:D55" si="1">C18</f>
        <v>7338943.3600000003</v>
      </c>
      <c r="D55" s="34">
        <f t="shared" si="1"/>
        <v>7338943.3600000003</v>
      </c>
    </row>
    <row r="56" spans="1:4">
      <c r="A56" s="30"/>
      <c r="B56" s="30"/>
      <c r="C56" s="30"/>
      <c r="D56" s="30"/>
    </row>
    <row r="57" spans="1:4" ht="32.25" customHeight="1">
      <c r="A57" s="88" t="s">
        <v>303</v>
      </c>
      <c r="B57" s="43">
        <f>B48+B49-B53+B55</f>
        <v>0</v>
      </c>
      <c r="C57" s="43">
        <f>C48+C49-C53+C55</f>
        <v>29281859.269999996</v>
      </c>
      <c r="D57" s="43">
        <f>D48+D49-D53+D55</f>
        <v>33381666.079999991</v>
      </c>
    </row>
    <row r="58" spans="1:4">
      <c r="A58" s="96"/>
      <c r="B58" s="96"/>
      <c r="C58" s="96"/>
      <c r="D58" s="96"/>
    </row>
    <row r="59" spans="1:4" ht="30" customHeight="1">
      <c r="A59" s="88" t="s">
        <v>304</v>
      </c>
      <c r="B59" s="43">
        <f>B57-B49</f>
        <v>-20000000</v>
      </c>
      <c r="C59" s="43">
        <f>C57-C49</f>
        <v>21942915.909999996</v>
      </c>
      <c r="D59" s="43">
        <f>D57-D49</f>
        <v>26042722.719999991</v>
      </c>
    </row>
    <row r="60" spans="1:4">
      <c r="A60" s="79"/>
      <c r="B60" s="79"/>
      <c r="C60" s="79"/>
      <c r="D60" s="79"/>
    </row>
    <row r="61" spans="1:4"/>
    <row r="62" spans="1:4" ht="30">
      <c r="A62" s="80" t="s">
        <v>286</v>
      </c>
      <c r="B62" s="1" t="s">
        <v>293</v>
      </c>
      <c r="C62" s="1" t="s">
        <v>10</v>
      </c>
      <c r="D62" s="1" t="s">
        <v>272</v>
      </c>
    </row>
    <row r="63" spans="1:4">
      <c r="A63" s="91" t="s">
        <v>275</v>
      </c>
      <c r="B63" s="97">
        <f>B10</f>
        <v>242751517.66000003</v>
      </c>
      <c r="C63" s="97">
        <f>C10</f>
        <v>51584748.700000003</v>
      </c>
      <c r="D63" s="97">
        <f>D10</f>
        <v>51584748.700000003</v>
      </c>
    </row>
    <row r="64" spans="1:4" ht="30">
      <c r="A64" s="93" t="s">
        <v>305</v>
      </c>
      <c r="B64" s="81">
        <f>B65-B66</f>
        <v>-2423411.08</v>
      </c>
      <c r="C64" s="81">
        <f>C65-C66</f>
        <v>81289593.469999999</v>
      </c>
      <c r="D64" s="81">
        <f>D65-D66</f>
        <v>81289593.469999999</v>
      </c>
    </row>
    <row r="65" spans="1:4">
      <c r="A65" s="94" t="s">
        <v>296</v>
      </c>
      <c r="B65" s="83">
        <f>B39</f>
        <v>0</v>
      </c>
      <c r="C65" s="83">
        <f>C39</f>
        <v>81982151.780000001</v>
      </c>
      <c r="D65" s="83">
        <f>D39</f>
        <v>81982151.780000001</v>
      </c>
    </row>
    <row r="66" spans="1:4">
      <c r="A66" s="94" t="s">
        <v>299</v>
      </c>
      <c r="B66" s="83">
        <f>B42</f>
        <v>2423411.08</v>
      </c>
      <c r="C66" s="83">
        <f>C42</f>
        <v>692558.31</v>
      </c>
      <c r="D66" s="83">
        <f>D42</f>
        <v>692558.31</v>
      </c>
    </row>
    <row r="67" spans="1:4">
      <c r="A67" s="30"/>
      <c r="B67" s="52"/>
      <c r="C67" s="52"/>
      <c r="D67" s="52"/>
    </row>
    <row r="68" spans="1:4">
      <c r="A68" s="82" t="s">
        <v>306</v>
      </c>
      <c r="B68" s="83">
        <f>B15</f>
        <v>242751517.66000006</v>
      </c>
      <c r="C68" s="83">
        <f>C15</f>
        <v>97069849.339999989</v>
      </c>
      <c r="D68" s="83">
        <f>D15</f>
        <v>76678686.670000002</v>
      </c>
    </row>
    <row r="69" spans="1:4">
      <c r="A69" s="30"/>
      <c r="B69" s="52"/>
      <c r="C69" s="52"/>
      <c r="D69" s="52"/>
    </row>
    <row r="70" spans="1:4">
      <c r="A70" s="82" t="s">
        <v>282</v>
      </c>
      <c r="B70" s="98">
        <f>B19</f>
        <v>0</v>
      </c>
      <c r="C70" s="83">
        <f>C19</f>
        <v>81982151.780000001</v>
      </c>
      <c r="D70" s="83">
        <f>D19</f>
        <v>81982151.780000001</v>
      </c>
    </row>
    <row r="71" spans="1:4">
      <c r="A71" s="30"/>
      <c r="B71" s="52"/>
      <c r="C71" s="52"/>
      <c r="D71" s="52"/>
    </row>
    <row r="72" spans="1:4" ht="30" customHeight="1">
      <c r="A72" s="88" t="s">
        <v>307</v>
      </c>
      <c r="B72" s="81">
        <f>B63+B64-B68+B70</f>
        <v>-2423411.0800000429</v>
      </c>
      <c r="C72" s="81">
        <f>C63+C64-C68+C70</f>
        <v>117786644.61000001</v>
      </c>
      <c r="D72" s="81">
        <f>D63+D64-D68+D70</f>
        <v>138177807.28</v>
      </c>
    </row>
    <row r="73" spans="1:4">
      <c r="A73" s="30"/>
      <c r="B73" s="52"/>
      <c r="C73" s="52"/>
      <c r="D73" s="52"/>
    </row>
    <row r="74" spans="1:4" ht="30" customHeight="1">
      <c r="A74" s="88" t="s">
        <v>308</v>
      </c>
      <c r="B74" s="81">
        <f>B72-B64</f>
        <v>-4.2840838432312012E-8</v>
      </c>
      <c r="C74" s="81">
        <f>C72-C64</f>
        <v>36497051.140000015</v>
      </c>
      <c r="D74" s="81">
        <f>D72-D64</f>
        <v>56888213.810000002</v>
      </c>
    </row>
    <row r="75" spans="1:4">
      <c r="A75" s="79"/>
      <c r="B75" s="68"/>
      <c r="C75" s="68"/>
      <c r="D75" s="68"/>
    </row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workbookViewId="0">
      <selection activeCell="A4" sqref="A4:G4"/>
    </sheetView>
  </sheetViews>
  <sheetFormatPr baseColWidth="10" defaultColWidth="0" defaultRowHeight="15" zeroHeight="1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71" customFormat="1" ht="37.5" customHeight="1">
      <c r="A1" s="196" t="s">
        <v>309</v>
      </c>
      <c r="B1" s="196"/>
      <c r="C1" s="196"/>
      <c r="D1" s="196"/>
      <c r="E1" s="196"/>
      <c r="F1" s="196"/>
      <c r="G1" s="196"/>
    </row>
    <row r="2" spans="1:8">
      <c r="A2" s="179" t="s">
        <v>629</v>
      </c>
      <c r="B2" s="180"/>
      <c r="C2" s="180"/>
      <c r="D2" s="180"/>
      <c r="E2" s="180"/>
      <c r="F2" s="180"/>
      <c r="G2" s="181"/>
    </row>
    <row r="3" spans="1:8">
      <c r="A3" s="182" t="s">
        <v>310</v>
      </c>
      <c r="B3" s="183"/>
      <c r="C3" s="183"/>
      <c r="D3" s="183"/>
      <c r="E3" s="183"/>
      <c r="F3" s="183"/>
      <c r="G3" s="184"/>
    </row>
    <row r="4" spans="1:8">
      <c r="A4" s="185" t="s">
        <v>627</v>
      </c>
      <c r="B4" s="186"/>
      <c r="C4" s="186"/>
      <c r="D4" s="186"/>
      <c r="E4" s="186"/>
      <c r="F4" s="186"/>
      <c r="G4" s="187"/>
    </row>
    <row r="5" spans="1:8">
      <c r="A5" s="188" t="s">
        <v>3</v>
      </c>
      <c r="B5" s="189"/>
      <c r="C5" s="189"/>
      <c r="D5" s="189"/>
      <c r="E5" s="189"/>
      <c r="F5" s="189"/>
      <c r="G5" s="190"/>
    </row>
    <row r="6" spans="1:8">
      <c r="A6" s="193" t="s">
        <v>311</v>
      </c>
      <c r="B6" s="195" t="s">
        <v>312</v>
      </c>
      <c r="C6" s="195"/>
      <c r="D6" s="195"/>
      <c r="E6" s="195"/>
      <c r="F6" s="195"/>
      <c r="G6" s="195" t="s">
        <v>313</v>
      </c>
    </row>
    <row r="7" spans="1:8" ht="30">
      <c r="A7" s="194"/>
      <c r="B7" s="99" t="s">
        <v>314</v>
      </c>
      <c r="C7" s="1" t="s">
        <v>315</v>
      </c>
      <c r="D7" s="99" t="s">
        <v>316</v>
      </c>
      <c r="E7" s="99" t="s">
        <v>10</v>
      </c>
      <c r="F7" s="99" t="s">
        <v>317</v>
      </c>
      <c r="G7" s="195"/>
    </row>
    <row r="8" spans="1:8">
      <c r="A8" s="100" t="s">
        <v>318</v>
      </c>
      <c r="B8" s="52"/>
      <c r="C8" s="52"/>
      <c r="D8" s="52"/>
      <c r="E8" s="52"/>
      <c r="F8" s="52"/>
      <c r="G8" s="52"/>
    </row>
    <row r="9" spans="1:8">
      <c r="A9" s="82" t="s">
        <v>319</v>
      </c>
      <c r="B9" s="37">
        <v>17139871.98</v>
      </c>
      <c r="C9" s="37">
        <v>0</v>
      </c>
      <c r="D9" s="37">
        <v>17139871.98</v>
      </c>
      <c r="E9" s="37">
        <v>13805920.880000001</v>
      </c>
      <c r="F9" s="37">
        <v>13805920.880000001</v>
      </c>
      <c r="G9" s="37">
        <v>-3333951.0999999996</v>
      </c>
      <c r="H9" s="101"/>
    </row>
    <row r="10" spans="1:8">
      <c r="A10" s="82" t="s">
        <v>320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</row>
    <row r="11" spans="1:8">
      <c r="A11" s="82" t="s">
        <v>321</v>
      </c>
      <c r="B11" s="37">
        <v>4683157.54</v>
      </c>
      <c r="C11" s="37">
        <v>0</v>
      </c>
      <c r="D11" s="37">
        <v>4683157.54</v>
      </c>
      <c r="E11" s="37">
        <v>272170.25</v>
      </c>
      <c r="F11" s="37">
        <v>272170.25</v>
      </c>
      <c r="G11" s="37">
        <v>-4410987.29</v>
      </c>
    </row>
    <row r="12" spans="1:8">
      <c r="A12" s="82" t="s">
        <v>322</v>
      </c>
      <c r="B12" s="37">
        <v>24293047.43</v>
      </c>
      <c r="C12" s="37">
        <v>0</v>
      </c>
      <c r="D12" s="37">
        <v>24293047.43</v>
      </c>
      <c r="E12" s="37">
        <v>5125255.6399999997</v>
      </c>
      <c r="F12" s="37">
        <v>5125255.6399999997</v>
      </c>
      <c r="G12" s="37">
        <v>-19167791.789999999</v>
      </c>
    </row>
    <row r="13" spans="1:8">
      <c r="A13" s="82" t="s">
        <v>323</v>
      </c>
      <c r="B13" s="37">
        <v>3214454.9</v>
      </c>
      <c r="C13" s="37">
        <v>0</v>
      </c>
      <c r="D13" s="37">
        <v>3214454.9</v>
      </c>
      <c r="E13" s="37">
        <v>976759.6</v>
      </c>
      <c r="F13" s="37">
        <v>976759.6</v>
      </c>
      <c r="G13" s="37">
        <v>-2237695.2999999998</v>
      </c>
    </row>
    <row r="14" spans="1:8">
      <c r="A14" s="82" t="s">
        <v>324</v>
      </c>
      <c r="B14" s="37">
        <v>2665994.4500000002</v>
      </c>
      <c r="C14" s="37">
        <v>0</v>
      </c>
      <c r="D14" s="37">
        <v>2665994.4500000002</v>
      </c>
      <c r="E14" s="37">
        <v>463571.99</v>
      </c>
      <c r="F14" s="37">
        <v>463571.99</v>
      </c>
      <c r="G14" s="37">
        <v>-2202422.46</v>
      </c>
    </row>
    <row r="15" spans="1:8">
      <c r="A15" s="82" t="s">
        <v>325</v>
      </c>
      <c r="B15" s="37">
        <v>0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</row>
    <row r="16" spans="1:8">
      <c r="A16" s="102" t="s">
        <v>326</v>
      </c>
      <c r="B16" s="33">
        <f>SUM(B17:B27)</f>
        <v>135548297.78999999</v>
      </c>
      <c r="C16" s="33">
        <f>SUM(C17:C27)</f>
        <v>1922452.2099999962</v>
      </c>
      <c r="D16" s="33">
        <f t="shared" ref="D16:G16" si="0">SUM(D17:D27)</f>
        <v>137470750</v>
      </c>
      <c r="E16" s="33">
        <f t="shared" si="0"/>
        <v>35735377.739999995</v>
      </c>
      <c r="F16" s="33">
        <f t="shared" si="0"/>
        <v>35735377.739999995</v>
      </c>
      <c r="G16" s="34">
        <f t="shared" si="0"/>
        <v>-99812920.049999982</v>
      </c>
    </row>
    <row r="17" spans="1:7">
      <c r="A17" s="103" t="s">
        <v>327</v>
      </c>
      <c r="B17" s="104">
        <v>89678668.840000004</v>
      </c>
      <c r="C17" s="104">
        <v>3093249.1599999964</v>
      </c>
      <c r="D17" s="104">
        <v>92771918</v>
      </c>
      <c r="E17" s="104">
        <v>23340324.239999998</v>
      </c>
      <c r="F17" s="104">
        <v>23340324.239999998</v>
      </c>
      <c r="G17" s="33">
        <f t="shared" ref="G17:G27" si="1">F17-B17</f>
        <v>-66338344.600000009</v>
      </c>
    </row>
    <row r="18" spans="1:7">
      <c r="A18" s="103" t="s">
        <v>328</v>
      </c>
      <c r="B18" s="104">
        <v>21841740.879999999</v>
      </c>
      <c r="C18" s="104">
        <v>654589.12000000104</v>
      </c>
      <c r="D18" s="104">
        <v>22496330</v>
      </c>
      <c r="E18" s="104">
        <v>5871751.9699999997</v>
      </c>
      <c r="F18" s="104">
        <v>5871751.9699999997</v>
      </c>
      <c r="G18" s="33">
        <f t="shared" si="1"/>
        <v>-15969988.91</v>
      </c>
    </row>
    <row r="19" spans="1:7">
      <c r="A19" s="103" t="s">
        <v>329</v>
      </c>
      <c r="B19" s="104">
        <v>6757418.9199999999</v>
      </c>
      <c r="C19" s="104">
        <v>702603.08000000007</v>
      </c>
      <c r="D19" s="104">
        <v>7460022</v>
      </c>
      <c r="E19" s="104">
        <v>1454360.71</v>
      </c>
      <c r="F19" s="104">
        <v>1454360.71</v>
      </c>
      <c r="G19" s="33">
        <f t="shared" si="1"/>
        <v>-5303058.21</v>
      </c>
    </row>
    <row r="20" spans="1:7">
      <c r="A20" s="103" t="s">
        <v>330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3">
        <f t="shared" si="1"/>
        <v>0</v>
      </c>
    </row>
    <row r="21" spans="1:7">
      <c r="A21" s="103" t="s">
        <v>331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3">
        <f t="shared" si="1"/>
        <v>0</v>
      </c>
    </row>
    <row r="22" spans="1:7">
      <c r="A22" s="103" t="s">
        <v>332</v>
      </c>
      <c r="B22" s="104">
        <v>2059467.57</v>
      </c>
      <c r="C22" s="104">
        <v>83402.429999999935</v>
      </c>
      <c r="D22" s="104">
        <v>2142870</v>
      </c>
      <c r="E22" s="104">
        <v>551642.91</v>
      </c>
      <c r="F22" s="104">
        <v>551642.91</v>
      </c>
      <c r="G22" s="33">
        <f t="shared" si="1"/>
        <v>-1507824.6600000001</v>
      </c>
    </row>
    <row r="23" spans="1:7">
      <c r="A23" s="103" t="s">
        <v>333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3">
        <f t="shared" si="1"/>
        <v>0</v>
      </c>
    </row>
    <row r="24" spans="1:7">
      <c r="A24" s="103" t="s">
        <v>334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3">
        <f t="shared" si="1"/>
        <v>0</v>
      </c>
    </row>
    <row r="25" spans="1:7">
      <c r="A25" s="103" t="s">
        <v>335</v>
      </c>
      <c r="B25" s="104">
        <v>4824685.12</v>
      </c>
      <c r="C25" s="104">
        <v>-205034.12000000011</v>
      </c>
      <c r="D25" s="104">
        <v>4619651</v>
      </c>
      <c r="E25" s="104">
        <v>1192081.9099999999</v>
      </c>
      <c r="F25" s="104">
        <v>1192081.9099999999</v>
      </c>
      <c r="G25" s="34">
        <f t="shared" si="1"/>
        <v>-3632603.21</v>
      </c>
    </row>
    <row r="26" spans="1:7">
      <c r="A26" s="103" t="s">
        <v>336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3">
        <f>F26-B26</f>
        <v>0</v>
      </c>
    </row>
    <row r="27" spans="1:7">
      <c r="A27" s="103" t="s">
        <v>337</v>
      </c>
      <c r="B27" s="104">
        <v>10386316.460000001</v>
      </c>
      <c r="C27" s="104">
        <v>-2406357.4600000009</v>
      </c>
      <c r="D27" s="104">
        <v>7979959</v>
      </c>
      <c r="E27" s="104">
        <v>3325216</v>
      </c>
      <c r="F27" s="104">
        <v>3325216</v>
      </c>
      <c r="G27" s="34">
        <f t="shared" si="1"/>
        <v>-7061100.4600000009</v>
      </c>
    </row>
    <row r="28" spans="1:7">
      <c r="A28" s="82" t="s">
        <v>338</v>
      </c>
      <c r="B28" s="105">
        <f t="shared" ref="B28:G28" si="2">SUM(B29:B33)</f>
        <v>2575182.2000000002</v>
      </c>
      <c r="C28" s="106">
        <f t="shared" si="2"/>
        <v>127330.81999999995</v>
      </c>
      <c r="D28" s="105">
        <f t="shared" si="2"/>
        <v>2702513.02</v>
      </c>
      <c r="E28" s="105">
        <f t="shared" si="2"/>
        <v>962479.64999999991</v>
      </c>
      <c r="F28" s="105">
        <f t="shared" si="2"/>
        <v>962479.64999999991</v>
      </c>
      <c r="G28" s="34">
        <f t="shared" si="2"/>
        <v>-1612702.55</v>
      </c>
    </row>
    <row r="29" spans="1:7">
      <c r="A29" s="103" t="s">
        <v>339</v>
      </c>
      <c r="B29" s="107">
        <v>36057.019999999997</v>
      </c>
      <c r="C29" s="37">
        <v>0</v>
      </c>
      <c r="D29" s="107">
        <v>36057.019999999997</v>
      </c>
      <c r="E29" s="107">
        <v>6902.22</v>
      </c>
      <c r="F29" s="107">
        <v>6902.22</v>
      </c>
      <c r="G29" s="34">
        <f>F29-B29</f>
        <v>-29154.799999999996</v>
      </c>
    </row>
    <row r="30" spans="1:7">
      <c r="A30" s="103" t="s">
        <v>340</v>
      </c>
      <c r="B30" s="107">
        <v>262080.36</v>
      </c>
      <c r="C30" s="108">
        <v>6768.640000000014</v>
      </c>
      <c r="D30" s="107">
        <v>268849</v>
      </c>
      <c r="E30" s="107">
        <v>67212.149999999994</v>
      </c>
      <c r="F30" s="107">
        <v>67212.149999999994</v>
      </c>
      <c r="G30" s="34">
        <f>F30-B30</f>
        <v>-194868.21</v>
      </c>
    </row>
    <row r="31" spans="1:7">
      <c r="A31" s="103" t="s">
        <v>341</v>
      </c>
      <c r="B31" s="107">
        <v>1362569.36</v>
      </c>
      <c r="C31" s="108">
        <v>330045.6399999999</v>
      </c>
      <c r="D31" s="107">
        <v>1692615</v>
      </c>
      <c r="E31" s="107">
        <v>502443.62</v>
      </c>
      <c r="F31" s="107">
        <v>502443.62</v>
      </c>
      <c r="G31" s="34">
        <f t="shared" ref="G31:G33" si="3">F31-B31</f>
        <v>-860125.74000000011</v>
      </c>
    </row>
    <row r="32" spans="1:7">
      <c r="A32" s="103" t="s">
        <v>342</v>
      </c>
      <c r="B32" s="37">
        <v>0</v>
      </c>
      <c r="C32" s="37">
        <v>0</v>
      </c>
      <c r="D32" s="37">
        <v>0</v>
      </c>
      <c r="E32" s="37">
        <v>0</v>
      </c>
      <c r="F32" s="37">
        <v>0</v>
      </c>
      <c r="G32" s="40">
        <f>F32-B32</f>
        <v>0</v>
      </c>
    </row>
    <row r="33" spans="1:8">
      <c r="A33" s="103" t="s">
        <v>343</v>
      </c>
      <c r="B33" s="107">
        <v>914475.46</v>
      </c>
      <c r="C33" s="108">
        <v>-209483.45999999996</v>
      </c>
      <c r="D33" s="107">
        <v>704992</v>
      </c>
      <c r="E33" s="107">
        <v>385921.66</v>
      </c>
      <c r="F33" s="107">
        <v>385921.66</v>
      </c>
      <c r="G33" s="34">
        <f t="shared" si="3"/>
        <v>-528553.80000000005</v>
      </c>
    </row>
    <row r="34" spans="1:8">
      <c r="A34" s="82" t="s">
        <v>344</v>
      </c>
      <c r="B34" s="37">
        <v>0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</row>
    <row r="35" spans="1:8">
      <c r="A35" s="82" t="s">
        <v>345</v>
      </c>
      <c r="B35" s="37">
        <v>0</v>
      </c>
      <c r="C35" s="37">
        <v>0</v>
      </c>
      <c r="D35" s="37">
        <v>0</v>
      </c>
      <c r="E35" s="37">
        <v>0</v>
      </c>
      <c r="F35" s="37">
        <v>0</v>
      </c>
      <c r="G35" s="37">
        <v>0</v>
      </c>
    </row>
    <row r="36" spans="1:8">
      <c r="A36" s="103" t="s">
        <v>346</v>
      </c>
      <c r="B36" s="37">
        <v>0</v>
      </c>
      <c r="C36" s="37">
        <v>0</v>
      </c>
      <c r="D36" s="37">
        <v>0</v>
      </c>
      <c r="E36" s="37">
        <v>0</v>
      </c>
      <c r="F36" s="37">
        <v>0</v>
      </c>
      <c r="G36" s="37">
        <v>0</v>
      </c>
    </row>
    <row r="37" spans="1:8">
      <c r="A37" s="82" t="s">
        <v>347</v>
      </c>
      <c r="B37" s="33">
        <f t="shared" ref="B37:G37" si="4">B38+B39</f>
        <v>0</v>
      </c>
      <c r="C37" s="33">
        <f t="shared" si="4"/>
        <v>0</v>
      </c>
      <c r="D37" s="33">
        <f t="shared" si="4"/>
        <v>0</v>
      </c>
      <c r="E37" s="33">
        <f t="shared" si="4"/>
        <v>0</v>
      </c>
      <c r="F37" s="33">
        <f t="shared" si="4"/>
        <v>0</v>
      </c>
      <c r="G37" s="33">
        <f t="shared" si="4"/>
        <v>0</v>
      </c>
    </row>
    <row r="38" spans="1:8">
      <c r="A38" s="103" t="s">
        <v>348</v>
      </c>
      <c r="B38" s="37">
        <v>0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</row>
    <row r="39" spans="1:8">
      <c r="A39" s="103" t="s">
        <v>349</v>
      </c>
      <c r="B39" s="37">
        <v>0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</row>
    <row r="40" spans="1:8">
      <c r="A40" s="30"/>
      <c r="B40" s="34"/>
      <c r="C40" s="34"/>
      <c r="D40" s="34"/>
      <c r="E40" s="34"/>
      <c r="F40" s="34"/>
      <c r="G40" s="34"/>
    </row>
    <row r="41" spans="1:8">
      <c r="A41" s="42" t="s">
        <v>350</v>
      </c>
      <c r="B41" s="43">
        <f t="shared" ref="B41:G41" si="5">SUM(B9,B10,B11,B12,B13,B14,B15,B16,B28,B34,B35,B37)</f>
        <v>190120006.28999999</v>
      </c>
      <c r="C41" s="43">
        <f t="shared" si="5"/>
        <v>2049783.0299999961</v>
      </c>
      <c r="D41" s="43">
        <f t="shared" si="5"/>
        <v>192169789.32000002</v>
      </c>
      <c r="E41" s="43">
        <f t="shared" si="5"/>
        <v>57341535.749999993</v>
      </c>
      <c r="F41" s="43">
        <f t="shared" si="5"/>
        <v>57341535.749999993</v>
      </c>
      <c r="G41" s="43">
        <f t="shared" si="5"/>
        <v>-132778470.53999998</v>
      </c>
    </row>
    <row r="42" spans="1:8">
      <c r="A42" s="42" t="s">
        <v>351</v>
      </c>
      <c r="B42" s="73"/>
      <c r="C42" s="73"/>
      <c r="D42" s="73"/>
      <c r="E42" s="73"/>
      <c r="F42" s="73"/>
      <c r="G42" s="44">
        <f>IF(G41&gt;0,G41,0)</f>
        <v>0</v>
      </c>
      <c r="H42" s="101"/>
    </row>
    <row r="43" spans="1:8">
      <c r="A43" s="30"/>
      <c r="B43" s="30"/>
      <c r="C43" s="30"/>
      <c r="D43" s="30"/>
      <c r="E43" s="30"/>
      <c r="F43" s="30"/>
      <c r="G43" s="30"/>
    </row>
    <row r="44" spans="1:8">
      <c r="A44" s="42" t="s">
        <v>352</v>
      </c>
      <c r="B44" s="30"/>
      <c r="C44" s="30"/>
      <c r="D44" s="30"/>
      <c r="E44" s="30"/>
      <c r="F44" s="30"/>
      <c r="G44" s="30"/>
    </row>
    <row r="45" spans="1:8">
      <c r="A45" s="82" t="s">
        <v>353</v>
      </c>
      <c r="B45" s="33">
        <f t="shared" ref="B45:G45" si="6">SUM(B46:B53)</f>
        <v>157911528.05000001</v>
      </c>
      <c r="C45" s="33">
        <f t="shared" si="6"/>
        <v>668429.94999999995</v>
      </c>
      <c r="D45" s="33">
        <f t="shared" si="6"/>
        <v>158579958</v>
      </c>
      <c r="E45" s="33">
        <f t="shared" si="6"/>
        <v>43300110</v>
      </c>
      <c r="F45" s="33">
        <f t="shared" si="6"/>
        <v>43300110</v>
      </c>
      <c r="G45" s="33">
        <f t="shared" si="6"/>
        <v>-114611418.05</v>
      </c>
    </row>
    <row r="46" spans="1:8">
      <c r="A46" s="109" t="s">
        <v>354</v>
      </c>
      <c r="B46" s="37">
        <v>0</v>
      </c>
      <c r="C46" s="37">
        <v>0</v>
      </c>
      <c r="D46" s="37">
        <v>0</v>
      </c>
      <c r="E46" s="37">
        <v>0</v>
      </c>
      <c r="F46" s="37">
        <v>0</v>
      </c>
      <c r="G46" s="37">
        <v>0</v>
      </c>
    </row>
    <row r="47" spans="1:8">
      <c r="A47" s="109" t="s">
        <v>355</v>
      </c>
      <c r="B47" s="37">
        <v>0</v>
      </c>
      <c r="C47" s="37">
        <v>0</v>
      </c>
      <c r="D47" s="37">
        <v>0</v>
      </c>
      <c r="E47" s="37">
        <v>0</v>
      </c>
      <c r="F47" s="37">
        <v>0</v>
      </c>
      <c r="G47" s="37">
        <v>0</v>
      </c>
    </row>
    <row r="48" spans="1:8">
      <c r="A48" s="109" t="s">
        <v>356</v>
      </c>
      <c r="B48" s="37">
        <v>70669652</v>
      </c>
      <c r="C48" s="37">
        <v>2432737</v>
      </c>
      <c r="D48" s="37">
        <v>73102389</v>
      </c>
      <c r="E48" s="37">
        <v>21930717</v>
      </c>
      <c r="F48" s="37">
        <v>21930717</v>
      </c>
      <c r="G48" s="37">
        <v>-48738935</v>
      </c>
    </row>
    <row r="49" spans="1:7" ht="30">
      <c r="A49" s="109" t="s">
        <v>357</v>
      </c>
      <c r="B49" s="37">
        <v>87241876.049999997</v>
      </c>
      <c r="C49" s="37">
        <v>-1764307.05</v>
      </c>
      <c r="D49" s="37">
        <v>85477569</v>
      </c>
      <c r="E49" s="37">
        <v>21369393</v>
      </c>
      <c r="F49" s="37">
        <v>21369393</v>
      </c>
      <c r="G49" s="37">
        <v>-65872483.049999997</v>
      </c>
    </row>
    <row r="50" spans="1:7">
      <c r="A50" s="109" t="s">
        <v>358</v>
      </c>
      <c r="B50" s="37">
        <v>0</v>
      </c>
      <c r="C50" s="37">
        <v>0</v>
      </c>
      <c r="D50" s="37">
        <v>0</v>
      </c>
      <c r="E50" s="37">
        <v>0</v>
      </c>
      <c r="F50" s="37">
        <v>0</v>
      </c>
      <c r="G50" s="37">
        <v>0</v>
      </c>
    </row>
    <row r="51" spans="1:7">
      <c r="A51" s="109" t="s">
        <v>359</v>
      </c>
      <c r="B51" s="37">
        <v>0</v>
      </c>
      <c r="C51" s="37">
        <v>0</v>
      </c>
      <c r="D51" s="37">
        <v>0</v>
      </c>
      <c r="E51" s="37">
        <v>0</v>
      </c>
      <c r="F51" s="37">
        <v>0</v>
      </c>
      <c r="G51" s="37">
        <v>0</v>
      </c>
    </row>
    <row r="52" spans="1:7">
      <c r="A52" s="110" t="s">
        <v>360</v>
      </c>
      <c r="B52" s="37">
        <v>0</v>
      </c>
      <c r="C52" s="37">
        <v>0</v>
      </c>
      <c r="D52" s="37">
        <v>0</v>
      </c>
      <c r="E52" s="37">
        <v>0</v>
      </c>
      <c r="F52" s="37">
        <v>0</v>
      </c>
      <c r="G52" s="37">
        <v>0</v>
      </c>
    </row>
    <row r="53" spans="1:7">
      <c r="A53" s="103" t="s">
        <v>361</v>
      </c>
      <c r="B53" s="37">
        <v>0</v>
      </c>
      <c r="C53" s="37">
        <v>0</v>
      </c>
      <c r="D53" s="37">
        <v>0</v>
      </c>
      <c r="E53" s="37">
        <v>0</v>
      </c>
      <c r="F53" s="37">
        <v>0</v>
      </c>
      <c r="G53" s="37">
        <v>0</v>
      </c>
    </row>
    <row r="54" spans="1:7">
      <c r="A54" s="82" t="s">
        <v>362</v>
      </c>
      <c r="B54" s="33">
        <f t="shared" ref="B54:F54" si="7">SUM(B55:B58)</f>
        <v>81348739.609999999</v>
      </c>
      <c r="C54" s="33">
        <f t="shared" si="7"/>
        <v>13888926.210000001</v>
      </c>
      <c r="D54" s="33">
        <f t="shared" si="7"/>
        <v>95237665.819999993</v>
      </c>
      <c r="E54" s="33">
        <f t="shared" si="7"/>
        <v>7401473.1699999999</v>
      </c>
      <c r="F54" s="33">
        <f t="shared" si="7"/>
        <v>7401473.1699999999</v>
      </c>
      <c r="G54" s="33">
        <f>SUM(G55:G58)</f>
        <v>-73947266.439999998</v>
      </c>
    </row>
    <row r="55" spans="1:7">
      <c r="A55" s="110" t="s">
        <v>363</v>
      </c>
      <c r="B55" s="37">
        <v>0</v>
      </c>
      <c r="C55" s="37">
        <v>0</v>
      </c>
      <c r="D55" s="37">
        <v>0</v>
      </c>
      <c r="E55" s="37">
        <v>0</v>
      </c>
      <c r="F55" s="37">
        <v>0</v>
      </c>
      <c r="G55" s="37">
        <v>0</v>
      </c>
    </row>
    <row r="56" spans="1:7">
      <c r="A56" s="109" t="s">
        <v>364</v>
      </c>
      <c r="B56" s="37">
        <v>0</v>
      </c>
      <c r="C56" s="37">
        <v>0</v>
      </c>
      <c r="D56" s="37">
        <v>0</v>
      </c>
      <c r="E56" s="37">
        <v>0</v>
      </c>
      <c r="F56" s="37">
        <v>0</v>
      </c>
      <c r="G56" s="37">
        <v>0</v>
      </c>
    </row>
    <row r="57" spans="1:7">
      <c r="A57" s="109" t="s">
        <v>365</v>
      </c>
      <c r="B57" s="37">
        <v>0</v>
      </c>
      <c r="C57" s="37">
        <v>0</v>
      </c>
      <c r="D57" s="37">
        <v>0</v>
      </c>
      <c r="E57" s="37">
        <v>0</v>
      </c>
      <c r="F57" s="37">
        <v>0</v>
      </c>
      <c r="G57" s="37">
        <v>0</v>
      </c>
    </row>
    <row r="58" spans="1:7">
      <c r="A58" s="110" t="s">
        <v>366</v>
      </c>
      <c r="B58" s="37">
        <v>81348739.609999999</v>
      </c>
      <c r="C58" s="37">
        <v>13888926.210000001</v>
      </c>
      <c r="D58" s="37">
        <v>95237665.819999993</v>
      </c>
      <c r="E58" s="37">
        <v>7401473.1699999999</v>
      </c>
      <c r="F58" s="37">
        <v>7401473.1699999999</v>
      </c>
      <c r="G58" s="37">
        <v>-73947266.439999998</v>
      </c>
    </row>
    <row r="59" spans="1:7">
      <c r="A59" s="82" t="s">
        <v>367</v>
      </c>
      <c r="B59" s="33">
        <f t="shared" ref="B59:F59" si="8">SUM(B60:B61)</f>
        <v>0</v>
      </c>
      <c r="C59" s="33">
        <f t="shared" si="8"/>
        <v>0</v>
      </c>
      <c r="D59" s="33">
        <f t="shared" si="8"/>
        <v>0</v>
      </c>
      <c r="E59" s="33">
        <f t="shared" si="8"/>
        <v>0</v>
      </c>
      <c r="F59" s="33">
        <f t="shared" si="8"/>
        <v>0</v>
      </c>
      <c r="G59" s="33">
        <f>SUM(G60:G61)</f>
        <v>0</v>
      </c>
    </row>
    <row r="60" spans="1:7">
      <c r="A60" s="109" t="s">
        <v>368</v>
      </c>
      <c r="B60" s="37">
        <v>0</v>
      </c>
      <c r="C60" s="37">
        <v>0</v>
      </c>
      <c r="D60" s="37">
        <v>0</v>
      </c>
      <c r="E60" s="37">
        <v>0</v>
      </c>
      <c r="F60" s="37">
        <v>0</v>
      </c>
      <c r="G60" s="37">
        <v>0</v>
      </c>
    </row>
    <row r="61" spans="1:7">
      <c r="A61" s="109" t="s">
        <v>369</v>
      </c>
      <c r="B61" s="37">
        <v>0</v>
      </c>
      <c r="C61" s="37">
        <v>0</v>
      </c>
      <c r="D61" s="37">
        <v>0</v>
      </c>
      <c r="E61" s="37">
        <v>0</v>
      </c>
      <c r="F61" s="37">
        <v>0</v>
      </c>
      <c r="G61" s="37">
        <v>0</v>
      </c>
    </row>
    <row r="62" spans="1:7">
      <c r="A62" s="82" t="s">
        <v>370</v>
      </c>
      <c r="B62" s="37">
        <v>0</v>
      </c>
      <c r="C62" s="37">
        <v>0</v>
      </c>
      <c r="D62" s="37">
        <v>0</v>
      </c>
      <c r="E62" s="37">
        <v>0</v>
      </c>
      <c r="F62" s="37">
        <v>0</v>
      </c>
      <c r="G62" s="37">
        <v>0</v>
      </c>
    </row>
    <row r="63" spans="1:7">
      <c r="A63" s="82" t="s">
        <v>371</v>
      </c>
      <c r="B63" s="37">
        <v>3491250</v>
      </c>
      <c r="C63" s="37">
        <v>0</v>
      </c>
      <c r="D63" s="37">
        <v>3491250</v>
      </c>
      <c r="E63" s="37">
        <v>883165.53</v>
      </c>
      <c r="F63" s="37">
        <v>883165.53</v>
      </c>
      <c r="G63" s="37">
        <f>F63-B63</f>
        <v>-2608084.4699999997</v>
      </c>
    </row>
    <row r="64" spans="1:7">
      <c r="A64" s="30"/>
      <c r="B64" s="30"/>
      <c r="C64" s="30"/>
      <c r="D64" s="30"/>
      <c r="E64" s="30"/>
      <c r="F64" s="30"/>
      <c r="G64" s="30"/>
    </row>
    <row r="65" spans="1:7">
      <c r="A65" s="42" t="s">
        <v>372</v>
      </c>
      <c r="B65" s="43">
        <f>B45+B54+B59+B62+B63</f>
        <v>242751517.66000003</v>
      </c>
      <c r="C65" s="43">
        <f t="shared" ref="C65:F65" si="9">C45+C54+C59+C62+C63</f>
        <v>14557356.16</v>
      </c>
      <c r="D65" s="43">
        <f>D45+D54+D59+D62+D63</f>
        <v>257308873.81999999</v>
      </c>
      <c r="E65" s="43">
        <f t="shared" si="9"/>
        <v>51584748.700000003</v>
      </c>
      <c r="F65" s="43">
        <f t="shared" si="9"/>
        <v>51584748.700000003</v>
      </c>
      <c r="G65" s="43">
        <f>G45+G54+G59+G62+G63</f>
        <v>-191166768.96000001</v>
      </c>
    </row>
    <row r="66" spans="1:7">
      <c r="A66" s="30"/>
      <c r="B66" s="30"/>
      <c r="C66" s="30"/>
      <c r="D66" s="30"/>
      <c r="E66" s="30"/>
      <c r="F66" s="30"/>
      <c r="G66" s="30"/>
    </row>
    <row r="67" spans="1:7">
      <c r="A67" s="42" t="s">
        <v>373</v>
      </c>
      <c r="B67" s="43">
        <f t="shared" ref="B67:G67" si="10">B68</f>
        <v>20000000</v>
      </c>
      <c r="C67" s="43">
        <f t="shared" si="10"/>
        <v>168469576.96000001</v>
      </c>
      <c r="D67" s="43">
        <f t="shared" si="10"/>
        <v>188469576.96000001</v>
      </c>
      <c r="E67" s="43">
        <f t="shared" si="10"/>
        <v>89321095.140000001</v>
      </c>
      <c r="F67" s="43">
        <f t="shared" si="10"/>
        <v>89321095.140000001</v>
      </c>
      <c r="G67" s="43">
        <f t="shared" si="10"/>
        <v>69321095.140000001</v>
      </c>
    </row>
    <row r="68" spans="1:7">
      <c r="A68" s="82" t="s">
        <v>374</v>
      </c>
      <c r="B68" s="37">
        <v>20000000</v>
      </c>
      <c r="C68" s="37">
        <v>168469576.96000001</v>
      </c>
      <c r="D68" s="37">
        <v>188469576.96000001</v>
      </c>
      <c r="E68" s="37">
        <v>89321095.140000001</v>
      </c>
      <c r="F68" s="37">
        <v>89321095.140000001</v>
      </c>
      <c r="G68" s="37">
        <v>69321095.140000001</v>
      </c>
    </row>
    <row r="69" spans="1:7">
      <c r="A69" s="30"/>
      <c r="B69" s="30"/>
      <c r="C69" s="30"/>
      <c r="D69" s="30"/>
      <c r="E69" s="30"/>
      <c r="F69" s="30"/>
      <c r="G69" s="30"/>
    </row>
    <row r="70" spans="1:7">
      <c r="A70" s="42" t="s">
        <v>375</v>
      </c>
      <c r="B70" s="43">
        <f t="shared" ref="B70:G70" si="11">B41+B65+B67</f>
        <v>452871523.95000005</v>
      </c>
      <c r="C70" s="43">
        <f t="shared" si="11"/>
        <v>185076716.15000001</v>
      </c>
      <c r="D70" s="43">
        <f>D41+D65+D67</f>
        <v>637948240.10000002</v>
      </c>
      <c r="E70" s="43">
        <f t="shared" si="11"/>
        <v>198247379.58999997</v>
      </c>
      <c r="F70" s="43">
        <f t="shared" si="11"/>
        <v>198247379.58999997</v>
      </c>
      <c r="G70" s="43">
        <f t="shared" si="11"/>
        <v>-254624144.36000001</v>
      </c>
    </row>
    <row r="71" spans="1:7">
      <c r="A71" s="30"/>
      <c r="B71" s="30"/>
      <c r="C71" s="30"/>
      <c r="D71" s="30"/>
      <c r="E71" s="30"/>
      <c r="F71" s="30"/>
      <c r="G71" s="30"/>
    </row>
    <row r="72" spans="1:7">
      <c r="A72" s="42" t="s">
        <v>376</v>
      </c>
      <c r="B72" s="30"/>
      <c r="C72" s="30"/>
      <c r="D72" s="30"/>
      <c r="E72" s="30"/>
      <c r="F72" s="30"/>
      <c r="G72" s="30"/>
    </row>
    <row r="73" spans="1:7">
      <c r="A73" s="111" t="s">
        <v>377</v>
      </c>
      <c r="B73" s="37">
        <v>20000000</v>
      </c>
      <c r="C73" s="37">
        <v>30254959.870000001</v>
      </c>
      <c r="D73" s="37">
        <v>50254959.870000005</v>
      </c>
      <c r="E73" s="37">
        <v>7338943.3600000003</v>
      </c>
      <c r="F73" s="37">
        <v>7338943.3600000003</v>
      </c>
      <c r="G73" s="37">
        <v>-12661056.640000001</v>
      </c>
    </row>
    <row r="74" spans="1:7" ht="30">
      <c r="A74" s="111" t="s">
        <v>378</v>
      </c>
      <c r="B74" s="37">
        <v>0</v>
      </c>
      <c r="C74" s="37">
        <v>138214617.09</v>
      </c>
      <c r="D74" s="37">
        <v>138214617.09</v>
      </c>
      <c r="E74" s="37">
        <v>81982151.780000001</v>
      </c>
      <c r="F74" s="37">
        <v>81982151.780000001</v>
      </c>
      <c r="G74" s="37">
        <v>81982151.780000001</v>
      </c>
    </row>
    <row r="75" spans="1:7">
      <c r="A75" s="88" t="s">
        <v>379</v>
      </c>
      <c r="B75" s="43">
        <f t="shared" ref="B75:G75" si="12">B73+B74</f>
        <v>20000000</v>
      </c>
      <c r="C75" s="43">
        <f t="shared" si="12"/>
        <v>168469576.96000001</v>
      </c>
      <c r="D75" s="43">
        <f t="shared" si="12"/>
        <v>188469576.96000001</v>
      </c>
      <c r="E75" s="43">
        <f t="shared" si="12"/>
        <v>89321095.140000001</v>
      </c>
      <c r="F75" s="43">
        <f t="shared" si="12"/>
        <v>89321095.140000001</v>
      </c>
      <c r="G75" s="43">
        <f t="shared" si="12"/>
        <v>69321095.140000001</v>
      </c>
    </row>
    <row r="76" spans="1:7">
      <c r="A76" s="79"/>
      <c r="B76" s="68"/>
      <c r="C76" s="68"/>
      <c r="D76" s="68"/>
      <c r="E76" s="68"/>
      <c r="F76" s="68"/>
      <c r="G76" s="68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2">
    <dataValidation type="decimal" allowBlank="1" showInputMessage="1" showErrorMessage="1" sqref="B9:G75">
      <formula1>-1.79769313486231E+100</formula1>
      <formula2>1.79769313486231E+100</formula2>
    </dataValidation>
    <dataValidation type="decimal" allowBlank="1" showInputMessage="1" showErrorMessage="1" error="Solo se aceptan valores numéricos." sqref="H45:XFD62">
      <formula1>#REF!</formula1>
      <formula2>#REF!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61"/>
  <sheetViews>
    <sheetView workbookViewId="0">
      <selection activeCell="A5" sqref="A5:G5"/>
    </sheetView>
  </sheetViews>
  <sheetFormatPr baseColWidth="10" defaultColWidth="10.7109375" defaultRowHeight="15" zeroHeight="1"/>
  <cols>
    <col min="1" max="1" width="102.85546875" customWidth="1"/>
    <col min="2" max="6" width="20.7109375" customWidth="1"/>
    <col min="7" max="7" width="17.5703125" style="120" customWidth="1"/>
    <col min="8" max="16383" width="0" hidden="1" customWidth="1"/>
    <col min="16384" max="16384" width="1.28515625" hidden="1" customWidth="1"/>
  </cols>
  <sheetData>
    <row r="1" spans="1:7" ht="56.25" customHeight="1">
      <c r="A1" s="200" t="s">
        <v>0</v>
      </c>
      <c r="B1" s="196"/>
      <c r="C1" s="196"/>
      <c r="D1" s="196"/>
      <c r="E1" s="196"/>
      <c r="F1" s="196"/>
      <c r="G1" s="196"/>
    </row>
    <row r="2" spans="1:7">
      <c r="A2" s="201" t="s">
        <v>629</v>
      </c>
      <c r="B2" s="201"/>
      <c r="C2" s="201"/>
      <c r="D2" s="201"/>
      <c r="E2" s="201"/>
      <c r="F2" s="201"/>
      <c r="G2" s="201"/>
    </row>
    <row r="3" spans="1:7">
      <c r="A3" s="202" t="s">
        <v>1</v>
      </c>
      <c r="B3" s="202"/>
      <c r="C3" s="202"/>
      <c r="D3" s="202"/>
      <c r="E3" s="202"/>
      <c r="F3" s="202"/>
      <c r="G3" s="202"/>
    </row>
    <row r="4" spans="1:7">
      <c r="A4" s="202" t="s">
        <v>2</v>
      </c>
      <c r="B4" s="202"/>
      <c r="C4" s="202"/>
      <c r="D4" s="202"/>
      <c r="E4" s="202"/>
      <c r="F4" s="202"/>
      <c r="G4" s="202"/>
    </row>
    <row r="5" spans="1:7">
      <c r="A5" s="203" t="s">
        <v>627</v>
      </c>
      <c r="B5" s="203"/>
      <c r="C5" s="203"/>
      <c r="D5" s="203"/>
      <c r="E5" s="203"/>
      <c r="F5" s="203"/>
      <c r="G5" s="203"/>
    </row>
    <row r="6" spans="1:7">
      <c r="A6" s="194" t="s">
        <v>3</v>
      </c>
      <c r="B6" s="194"/>
      <c r="C6" s="194"/>
      <c r="D6" s="194"/>
      <c r="E6" s="194"/>
      <c r="F6" s="194"/>
      <c r="G6" s="194"/>
    </row>
    <row r="7" spans="1:7" ht="15" customHeight="1">
      <c r="A7" s="197" t="s">
        <v>4</v>
      </c>
      <c r="B7" s="197" t="s">
        <v>5</v>
      </c>
      <c r="C7" s="197"/>
      <c r="D7" s="197"/>
      <c r="E7" s="197"/>
      <c r="F7" s="197"/>
      <c r="G7" s="198" t="s">
        <v>6</v>
      </c>
    </row>
    <row r="8" spans="1:7" ht="30">
      <c r="A8" s="197"/>
      <c r="B8" s="1" t="s">
        <v>7</v>
      </c>
      <c r="C8" s="1" t="s">
        <v>8</v>
      </c>
      <c r="D8" s="1" t="s">
        <v>9</v>
      </c>
      <c r="E8" s="1" t="s">
        <v>10</v>
      </c>
      <c r="F8" s="1" t="s">
        <v>11</v>
      </c>
      <c r="G8" s="199"/>
    </row>
    <row r="9" spans="1:7">
      <c r="A9" s="2" t="s">
        <v>12</v>
      </c>
      <c r="B9" s="3">
        <f t="shared" ref="B9:G9" si="0">SUM(B10,B18,B28,B38,B48,B58,B62,B71,B75)</f>
        <v>210120006.28999999</v>
      </c>
      <c r="C9" s="3">
        <f t="shared" si="0"/>
        <v>32304742.900000002</v>
      </c>
      <c r="D9" s="3">
        <f t="shared" si="0"/>
        <v>242424749.19</v>
      </c>
      <c r="E9" s="3">
        <f t="shared" si="0"/>
        <v>42737563.199999996</v>
      </c>
      <c r="F9" s="3">
        <f t="shared" si="0"/>
        <v>38637756.390000001</v>
      </c>
      <c r="G9" s="3">
        <f t="shared" si="0"/>
        <v>199687185.99000001</v>
      </c>
    </row>
    <row r="10" spans="1:7">
      <c r="A10" s="4" t="s">
        <v>13</v>
      </c>
      <c r="B10" s="5">
        <f t="shared" ref="B10:F10" si="1">SUM(B11:B17)</f>
        <v>99269623.770000011</v>
      </c>
      <c r="C10" s="5">
        <f t="shared" si="1"/>
        <v>891104.93</v>
      </c>
      <c r="D10" s="5">
        <f t="shared" si="1"/>
        <v>100160728.70000002</v>
      </c>
      <c r="E10" s="5">
        <f t="shared" si="1"/>
        <v>19203804.59</v>
      </c>
      <c r="F10" s="5">
        <f t="shared" si="1"/>
        <v>18936255.870000001</v>
      </c>
      <c r="G10" s="5">
        <f>SUM(G11:G17)</f>
        <v>80956924.109999999</v>
      </c>
    </row>
    <row r="11" spans="1:7">
      <c r="A11" s="7" t="s">
        <v>14</v>
      </c>
      <c r="B11" s="8">
        <v>58168608</v>
      </c>
      <c r="C11" s="8">
        <v>-91018</v>
      </c>
      <c r="D11" s="8">
        <v>58077590</v>
      </c>
      <c r="E11" s="8">
        <v>14253866.18</v>
      </c>
      <c r="F11" s="8">
        <v>14253589.189999999</v>
      </c>
      <c r="G11" s="5">
        <f>D11-E11</f>
        <v>43823723.82</v>
      </c>
    </row>
    <row r="12" spans="1:7">
      <c r="A12" s="7" t="s">
        <v>15</v>
      </c>
      <c r="B12" s="8">
        <v>3188338</v>
      </c>
      <c r="C12" s="8">
        <v>938672.65</v>
      </c>
      <c r="D12" s="8">
        <v>4127010.65</v>
      </c>
      <c r="E12" s="8">
        <v>429202.34</v>
      </c>
      <c r="F12" s="8">
        <v>429202.34</v>
      </c>
      <c r="G12" s="5">
        <f>D12-E12</f>
        <v>3697808.31</v>
      </c>
    </row>
    <row r="13" spans="1:7">
      <c r="A13" s="7" t="s">
        <v>16</v>
      </c>
      <c r="B13" s="8">
        <v>14829296</v>
      </c>
      <c r="C13" s="8">
        <v>-23083</v>
      </c>
      <c r="D13" s="8">
        <v>14806213</v>
      </c>
      <c r="E13" s="8">
        <v>188564.05</v>
      </c>
      <c r="F13" s="8">
        <v>183766.39</v>
      </c>
      <c r="G13" s="5">
        <f>D13-E13</f>
        <v>14617648.949999999</v>
      </c>
    </row>
    <row r="14" spans="1:7">
      <c r="A14" s="7" t="s">
        <v>17</v>
      </c>
      <c r="B14" s="8">
        <v>4107711.37</v>
      </c>
      <c r="C14" s="8">
        <v>0</v>
      </c>
      <c r="D14" s="8">
        <v>4107711.37</v>
      </c>
      <c r="E14" s="8">
        <v>711719.92</v>
      </c>
      <c r="F14" s="8">
        <v>495882.5</v>
      </c>
      <c r="G14" s="5">
        <f>D14-E14</f>
        <v>3395991.45</v>
      </c>
    </row>
    <row r="15" spans="1:7">
      <c r="A15" s="7" t="s">
        <v>18</v>
      </c>
      <c r="B15" s="8">
        <v>18925670.399999999</v>
      </c>
      <c r="C15" s="8">
        <v>66533.279999999999</v>
      </c>
      <c r="D15" s="8">
        <v>18992203.68</v>
      </c>
      <c r="E15" s="8">
        <v>3605452.1</v>
      </c>
      <c r="F15" s="8">
        <v>3558815.45</v>
      </c>
      <c r="G15" s="5">
        <f>D15-E15</f>
        <v>15386751.58</v>
      </c>
    </row>
    <row r="16" spans="1:7">
      <c r="A16" s="7" t="s">
        <v>19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</row>
    <row r="17" spans="1:7">
      <c r="A17" s="7" t="s">
        <v>20</v>
      </c>
      <c r="B17" s="8">
        <v>50000</v>
      </c>
      <c r="C17" s="8">
        <v>0</v>
      </c>
      <c r="D17" s="8">
        <v>50000</v>
      </c>
      <c r="E17" s="8">
        <v>15000</v>
      </c>
      <c r="F17" s="8">
        <v>15000</v>
      </c>
      <c r="G17" s="5">
        <f>D17-E17</f>
        <v>35000</v>
      </c>
    </row>
    <row r="18" spans="1:7">
      <c r="A18" s="4" t="s">
        <v>21</v>
      </c>
      <c r="B18" s="5">
        <f t="shared" ref="B18:G18" si="2">SUM(B19:B27)</f>
        <v>9381893.1699999999</v>
      </c>
      <c r="C18" s="5">
        <f t="shared" si="2"/>
        <v>2271600.96</v>
      </c>
      <c r="D18" s="5">
        <f t="shared" si="2"/>
        <v>11653494.130000001</v>
      </c>
      <c r="E18" s="5">
        <f t="shared" si="2"/>
        <v>1482579.83</v>
      </c>
      <c r="F18" s="5">
        <f t="shared" si="2"/>
        <v>1046975.38</v>
      </c>
      <c r="G18" s="5">
        <f t="shared" si="2"/>
        <v>10170914.299999999</v>
      </c>
    </row>
    <row r="19" spans="1:7">
      <c r="A19" s="7" t="s">
        <v>22</v>
      </c>
      <c r="B19" s="8">
        <v>2423360.4900000002</v>
      </c>
      <c r="C19" s="8">
        <v>-1820</v>
      </c>
      <c r="D19" s="8">
        <v>2421540.4900000002</v>
      </c>
      <c r="E19" s="8">
        <v>544067.37</v>
      </c>
      <c r="F19" s="8">
        <v>265274.99</v>
      </c>
      <c r="G19" s="5">
        <f t="shared" ref="G19:G27" si="3">D19-E19</f>
        <v>1877473.12</v>
      </c>
    </row>
    <row r="20" spans="1:7">
      <c r="A20" s="7" t="s">
        <v>23</v>
      </c>
      <c r="B20" s="8">
        <v>551282.36</v>
      </c>
      <c r="C20" s="8">
        <v>0</v>
      </c>
      <c r="D20" s="8">
        <v>551282.36</v>
      </c>
      <c r="E20" s="8">
        <v>62937.21</v>
      </c>
      <c r="F20" s="8">
        <v>44276.7</v>
      </c>
      <c r="G20" s="5">
        <f t="shared" si="3"/>
        <v>488345.14999999997</v>
      </c>
    </row>
    <row r="21" spans="1:7">
      <c r="A21" s="7" t="s">
        <v>24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5">
        <f t="shared" si="3"/>
        <v>0</v>
      </c>
    </row>
    <row r="22" spans="1:7">
      <c r="A22" s="7" t="s">
        <v>25</v>
      </c>
      <c r="B22" s="8">
        <v>2506129</v>
      </c>
      <c r="C22" s="8">
        <v>2097944.46</v>
      </c>
      <c r="D22" s="8">
        <v>4604073.46</v>
      </c>
      <c r="E22" s="8">
        <v>271926.06</v>
      </c>
      <c r="F22" s="8">
        <v>231622.22</v>
      </c>
      <c r="G22" s="5">
        <f t="shared" si="3"/>
        <v>4332147.4000000004</v>
      </c>
    </row>
    <row r="23" spans="1:7">
      <c r="A23" s="7" t="s">
        <v>26</v>
      </c>
      <c r="B23" s="8">
        <v>444583</v>
      </c>
      <c r="C23" s="8">
        <v>182406.5</v>
      </c>
      <c r="D23" s="8">
        <v>626989.5</v>
      </c>
      <c r="E23" s="8">
        <v>71441.81</v>
      </c>
      <c r="F23" s="8">
        <v>57026.78</v>
      </c>
      <c r="G23" s="5">
        <f t="shared" si="3"/>
        <v>555547.68999999994</v>
      </c>
    </row>
    <row r="24" spans="1:7">
      <c r="A24" s="7" t="s">
        <v>27</v>
      </c>
      <c r="B24" s="8">
        <v>1592028.32</v>
      </c>
      <c r="C24" s="8">
        <v>-10000</v>
      </c>
      <c r="D24" s="8">
        <v>1582028.32</v>
      </c>
      <c r="E24" s="8">
        <v>370490.81</v>
      </c>
      <c r="F24" s="8">
        <v>353332.55</v>
      </c>
      <c r="G24" s="5">
        <f t="shared" si="3"/>
        <v>1211537.51</v>
      </c>
    </row>
    <row r="25" spans="1:7">
      <c r="A25" s="7" t="s">
        <v>28</v>
      </c>
      <c r="B25" s="8">
        <v>971299</v>
      </c>
      <c r="C25" s="8">
        <v>-9983</v>
      </c>
      <c r="D25" s="8">
        <v>961316</v>
      </c>
      <c r="E25" s="8">
        <v>8026.99</v>
      </c>
      <c r="F25" s="8">
        <v>0</v>
      </c>
      <c r="G25" s="5">
        <f t="shared" si="3"/>
        <v>953289.01</v>
      </c>
    </row>
    <row r="26" spans="1:7">
      <c r="A26" s="7" t="s">
        <v>29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5">
        <f t="shared" si="3"/>
        <v>0</v>
      </c>
    </row>
    <row r="27" spans="1:7">
      <c r="A27" s="7" t="s">
        <v>30</v>
      </c>
      <c r="B27" s="8">
        <v>893211</v>
      </c>
      <c r="C27" s="8">
        <v>13053</v>
      </c>
      <c r="D27" s="8">
        <v>906264</v>
      </c>
      <c r="E27" s="8">
        <v>153689.57999999999</v>
      </c>
      <c r="F27" s="8">
        <v>95442.14</v>
      </c>
      <c r="G27" s="5">
        <f t="shared" si="3"/>
        <v>752574.42</v>
      </c>
    </row>
    <row r="28" spans="1:7">
      <c r="A28" s="4" t="s">
        <v>31</v>
      </c>
      <c r="B28" s="5">
        <f t="shared" ref="B28:F28" si="4">SUM(B29:B37)</f>
        <v>31543816.150000002</v>
      </c>
      <c r="C28" s="5">
        <f t="shared" si="4"/>
        <v>1937120.75</v>
      </c>
      <c r="D28" s="5">
        <f t="shared" si="4"/>
        <v>33480936.900000002</v>
      </c>
      <c r="E28" s="5">
        <f t="shared" si="4"/>
        <v>3580261.4099999997</v>
      </c>
      <c r="F28" s="5">
        <f t="shared" si="4"/>
        <v>3414633.4699999997</v>
      </c>
      <c r="G28" s="5">
        <f>SUM(G29:G37)</f>
        <v>29900675.490000002</v>
      </c>
    </row>
    <row r="29" spans="1:7">
      <c r="A29" s="7" t="s">
        <v>32</v>
      </c>
      <c r="B29" s="8">
        <v>12872323.380000001</v>
      </c>
      <c r="C29" s="8">
        <v>-25000</v>
      </c>
      <c r="D29" s="8">
        <v>12847323.380000001</v>
      </c>
      <c r="E29" s="8">
        <v>1974410.19</v>
      </c>
      <c r="F29" s="8">
        <v>1925904.75</v>
      </c>
      <c r="G29" s="5">
        <f t="shared" ref="G29:G36" si="5">D29-E29</f>
        <v>10872913.190000001</v>
      </c>
    </row>
    <row r="30" spans="1:7">
      <c r="A30" s="7" t="s">
        <v>33</v>
      </c>
      <c r="B30" s="8">
        <v>424525</v>
      </c>
      <c r="C30" s="8">
        <v>0</v>
      </c>
      <c r="D30" s="8">
        <v>424525</v>
      </c>
      <c r="E30" s="8">
        <v>87000</v>
      </c>
      <c r="F30" s="8">
        <v>58000</v>
      </c>
      <c r="G30" s="5">
        <f t="shared" si="5"/>
        <v>337525</v>
      </c>
    </row>
    <row r="31" spans="1:7">
      <c r="A31" s="7" t="s">
        <v>34</v>
      </c>
      <c r="B31" s="8">
        <v>3597105</v>
      </c>
      <c r="C31" s="8">
        <v>108556</v>
      </c>
      <c r="D31" s="8">
        <v>3705661</v>
      </c>
      <c r="E31" s="8">
        <v>1055311.2</v>
      </c>
      <c r="F31" s="8">
        <v>1026806.8</v>
      </c>
      <c r="G31" s="5">
        <f t="shared" si="5"/>
        <v>2650349.7999999998</v>
      </c>
    </row>
    <row r="32" spans="1:7">
      <c r="A32" s="7" t="s">
        <v>35</v>
      </c>
      <c r="B32" s="8">
        <v>243103.9</v>
      </c>
      <c r="C32" s="8">
        <v>0</v>
      </c>
      <c r="D32" s="8">
        <v>243103.9</v>
      </c>
      <c r="E32" s="8">
        <v>81182.179999999993</v>
      </c>
      <c r="F32" s="8">
        <v>81182.179999999993</v>
      </c>
      <c r="G32" s="5">
        <f t="shared" si="5"/>
        <v>161921.72</v>
      </c>
    </row>
    <row r="33" spans="1:7">
      <c r="A33" s="7" t="s">
        <v>36</v>
      </c>
      <c r="B33" s="8">
        <v>459703</v>
      </c>
      <c r="C33" s="8">
        <v>8444</v>
      </c>
      <c r="D33" s="8">
        <v>468147</v>
      </c>
      <c r="E33" s="8">
        <v>28980.34</v>
      </c>
      <c r="F33" s="8">
        <v>19326.34</v>
      </c>
      <c r="G33" s="5">
        <f t="shared" si="5"/>
        <v>439166.66</v>
      </c>
    </row>
    <row r="34" spans="1:7">
      <c r="A34" s="7" t="s">
        <v>37</v>
      </c>
      <c r="B34" s="8">
        <v>2019050</v>
      </c>
      <c r="C34" s="8">
        <v>0</v>
      </c>
      <c r="D34" s="8">
        <v>2019050</v>
      </c>
      <c r="E34" s="8">
        <v>39336</v>
      </c>
      <c r="F34" s="8">
        <v>8480</v>
      </c>
      <c r="G34" s="5">
        <f t="shared" si="5"/>
        <v>1979714</v>
      </c>
    </row>
    <row r="35" spans="1:7">
      <c r="A35" s="7" t="s">
        <v>38</v>
      </c>
      <c r="B35" s="8">
        <v>147715</v>
      </c>
      <c r="C35" s="8">
        <v>10000</v>
      </c>
      <c r="D35" s="8">
        <v>157715</v>
      </c>
      <c r="E35" s="8">
        <v>37277.26</v>
      </c>
      <c r="F35" s="8">
        <v>37277.26</v>
      </c>
      <c r="G35" s="5">
        <f t="shared" si="5"/>
        <v>120437.73999999999</v>
      </c>
    </row>
    <row r="36" spans="1:7">
      <c r="A36" s="7" t="s">
        <v>39</v>
      </c>
      <c r="B36" s="8">
        <v>1958154.98</v>
      </c>
      <c r="C36" s="8">
        <v>0</v>
      </c>
      <c r="D36" s="8">
        <v>1958154.98</v>
      </c>
      <c r="E36" s="8">
        <v>90855.1</v>
      </c>
      <c r="F36" s="8">
        <v>71747</v>
      </c>
      <c r="G36" s="5">
        <f t="shared" si="5"/>
        <v>1867299.88</v>
      </c>
    </row>
    <row r="37" spans="1:7">
      <c r="A37" s="7" t="s">
        <v>40</v>
      </c>
      <c r="B37" s="8">
        <v>9822135.8900000006</v>
      </c>
      <c r="C37" s="8">
        <v>1835120.75</v>
      </c>
      <c r="D37" s="8">
        <v>11657256.640000001</v>
      </c>
      <c r="E37" s="8">
        <v>185909.14</v>
      </c>
      <c r="F37" s="8">
        <v>185909.14</v>
      </c>
      <c r="G37" s="5">
        <f t="shared" ref="G37" si="6">D37-E37</f>
        <v>11471347.5</v>
      </c>
    </row>
    <row r="38" spans="1:7">
      <c r="A38" s="4" t="s">
        <v>41</v>
      </c>
      <c r="B38" s="5">
        <f t="shared" ref="B38:G38" si="7">SUM(B39:B47)</f>
        <v>32679311.199999999</v>
      </c>
      <c r="C38" s="5">
        <f t="shared" si="7"/>
        <v>2069874</v>
      </c>
      <c r="D38" s="5">
        <f t="shared" si="7"/>
        <v>34749185.200000003</v>
      </c>
      <c r="E38" s="5">
        <f t="shared" si="7"/>
        <v>11305598.75</v>
      </c>
      <c r="F38" s="5">
        <f t="shared" si="7"/>
        <v>10734319.149999999</v>
      </c>
      <c r="G38" s="5">
        <f t="shared" si="7"/>
        <v>23443586.449999999</v>
      </c>
    </row>
    <row r="39" spans="1:7">
      <c r="A39" s="7" t="s">
        <v>42</v>
      </c>
      <c r="B39" s="8"/>
      <c r="C39" s="8"/>
      <c r="D39" s="8">
        <v>0</v>
      </c>
      <c r="E39" s="8"/>
      <c r="F39" s="8"/>
      <c r="G39" s="5">
        <f>D39-E39</f>
        <v>0</v>
      </c>
    </row>
    <row r="40" spans="1:7">
      <c r="A40" s="7" t="s">
        <v>43</v>
      </c>
      <c r="B40" s="8">
        <v>13163143.199999999</v>
      </c>
      <c r="C40" s="8">
        <v>163000</v>
      </c>
      <c r="D40" s="8">
        <v>13326143.199999999</v>
      </c>
      <c r="E40" s="8">
        <v>3290785.8</v>
      </c>
      <c r="F40" s="8">
        <v>3290785.8</v>
      </c>
      <c r="G40" s="5">
        <f>D40-E40</f>
        <v>10035357.399999999</v>
      </c>
    </row>
    <row r="41" spans="1:7">
      <c r="A41" s="7" t="s">
        <v>44</v>
      </c>
      <c r="B41" s="8">
        <v>1455660</v>
      </c>
      <c r="C41" s="8">
        <v>1744900</v>
      </c>
      <c r="D41" s="8">
        <v>3200560</v>
      </c>
      <c r="E41" s="8">
        <v>0</v>
      </c>
      <c r="F41" s="8">
        <v>0</v>
      </c>
      <c r="G41" s="5">
        <f>D41-E41</f>
        <v>3200560</v>
      </c>
    </row>
    <row r="42" spans="1:7">
      <c r="A42" s="7" t="s">
        <v>45</v>
      </c>
      <c r="B42" s="8">
        <v>11651480</v>
      </c>
      <c r="C42" s="8">
        <v>141974</v>
      </c>
      <c r="D42" s="8">
        <v>11793454</v>
      </c>
      <c r="E42" s="8">
        <v>7135465.9500000002</v>
      </c>
      <c r="F42" s="8">
        <v>6564186.3499999996</v>
      </c>
      <c r="G42" s="5">
        <f>D42-E42</f>
        <v>4657988.05</v>
      </c>
    </row>
    <row r="43" spans="1:7">
      <c r="A43" s="7" t="s">
        <v>46</v>
      </c>
      <c r="B43" s="8">
        <v>6268428</v>
      </c>
      <c r="C43" s="8">
        <v>0</v>
      </c>
      <c r="D43" s="8">
        <v>6268428</v>
      </c>
      <c r="E43" s="8">
        <v>859347</v>
      </c>
      <c r="F43" s="8">
        <v>859347</v>
      </c>
      <c r="G43" s="5">
        <f t="shared" ref="G43" si="8">D43-E43</f>
        <v>5409081</v>
      </c>
    </row>
    <row r="44" spans="1:7">
      <c r="A44" s="7" t="s">
        <v>47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</row>
    <row r="45" spans="1:7">
      <c r="A45" s="7" t="s">
        <v>48</v>
      </c>
      <c r="B45" s="8">
        <v>0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</row>
    <row r="46" spans="1:7">
      <c r="A46" s="7" t="s">
        <v>49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</row>
    <row r="47" spans="1:7">
      <c r="A47" s="7" t="s">
        <v>50</v>
      </c>
      <c r="B47" s="8">
        <v>140600</v>
      </c>
      <c r="C47" s="8">
        <v>20000</v>
      </c>
      <c r="D47" s="8">
        <v>160600</v>
      </c>
      <c r="E47" s="8">
        <v>20000</v>
      </c>
      <c r="F47" s="8">
        <v>20000</v>
      </c>
      <c r="G47" s="5">
        <f>D47-E47</f>
        <v>140600</v>
      </c>
    </row>
    <row r="48" spans="1:7">
      <c r="A48" s="4" t="s">
        <v>51</v>
      </c>
      <c r="B48" s="5">
        <f t="shared" ref="B48:F48" si="9">SUM(B49:B57)</f>
        <v>849942</v>
      </c>
      <c r="C48" s="5">
        <f t="shared" si="9"/>
        <v>63500</v>
      </c>
      <c r="D48" s="5">
        <f t="shared" si="9"/>
        <v>913442</v>
      </c>
      <c r="E48" s="5">
        <f t="shared" si="9"/>
        <v>56574.51</v>
      </c>
      <c r="F48" s="5">
        <f t="shared" si="9"/>
        <v>0</v>
      </c>
      <c r="G48" s="5">
        <f>SUM(G49:G57)</f>
        <v>856867.49</v>
      </c>
    </row>
    <row r="49" spans="1:7">
      <c r="A49" s="7" t="s">
        <v>52</v>
      </c>
      <c r="B49" s="9">
        <v>641418</v>
      </c>
      <c r="C49" s="9">
        <v>13500</v>
      </c>
      <c r="D49" s="9">
        <v>654918</v>
      </c>
      <c r="E49" s="9">
        <v>56574.51</v>
      </c>
      <c r="F49" s="9">
        <v>0</v>
      </c>
      <c r="G49" s="5">
        <f>D49-E49</f>
        <v>598343.49</v>
      </c>
    </row>
    <row r="50" spans="1:7">
      <c r="A50" s="7" t="s">
        <v>53</v>
      </c>
      <c r="B50" s="9">
        <v>96729</v>
      </c>
      <c r="C50" s="9">
        <v>0</v>
      </c>
      <c r="D50" s="9">
        <v>96729</v>
      </c>
      <c r="E50" s="9">
        <v>0</v>
      </c>
      <c r="F50" s="9">
        <v>0</v>
      </c>
      <c r="G50" s="5">
        <f>D50-E50</f>
        <v>96729</v>
      </c>
    </row>
    <row r="51" spans="1:7">
      <c r="A51" s="7" t="s">
        <v>54</v>
      </c>
      <c r="B51" s="9"/>
      <c r="C51" s="9"/>
      <c r="D51" s="9">
        <v>0</v>
      </c>
      <c r="E51" s="9"/>
      <c r="F51" s="9"/>
      <c r="G51" s="5">
        <f t="shared" ref="G51:G57" si="10">D51-E51</f>
        <v>0</v>
      </c>
    </row>
    <row r="52" spans="1:7">
      <c r="A52" s="7" t="s">
        <v>55</v>
      </c>
      <c r="B52" s="9">
        <v>20000</v>
      </c>
      <c r="C52" s="9">
        <v>0</v>
      </c>
      <c r="D52" s="9">
        <v>20000</v>
      </c>
      <c r="E52" s="9">
        <v>0</v>
      </c>
      <c r="F52" s="9">
        <v>0</v>
      </c>
      <c r="G52" s="5">
        <f t="shared" si="10"/>
        <v>20000</v>
      </c>
    </row>
    <row r="53" spans="1:7">
      <c r="A53" s="7" t="s">
        <v>56</v>
      </c>
      <c r="B53" s="9"/>
      <c r="C53" s="9"/>
      <c r="D53" s="9">
        <v>0</v>
      </c>
      <c r="E53" s="9"/>
      <c r="F53" s="9"/>
      <c r="G53" s="5">
        <f t="shared" si="10"/>
        <v>0</v>
      </c>
    </row>
    <row r="54" spans="1:7">
      <c r="A54" s="7" t="s">
        <v>57</v>
      </c>
      <c r="B54" s="9">
        <v>53895</v>
      </c>
      <c r="C54" s="9">
        <v>50000</v>
      </c>
      <c r="D54" s="9">
        <v>103895</v>
      </c>
      <c r="E54" s="9">
        <v>0</v>
      </c>
      <c r="F54" s="9">
        <v>0</v>
      </c>
      <c r="G54" s="5">
        <f t="shared" si="10"/>
        <v>103895</v>
      </c>
    </row>
    <row r="55" spans="1:7">
      <c r="A55" s="7" t="s">
        <v>58</v>
      </c>
      <c r="B55" s="9"/>
      <c r="C55" s="9"/>
      <c r="D55" s="9">
        <v>0</v>
      </c>
      <c r="E55" s="9"/>
      <c r="F55" s="9"/>
      <c r="G55" s="5">
        <f t="shared" si="10"/>
        <v>0</v>
      </c>
    </row>
    <row r="56" spans="1:7">
      <c r="A56" s="7" t="s">
        <v>59</v>
      </c>
      <c r="B56" s="9"/>
      <c r="C56" s="9"/>
      <c r="D56" s="9">
        <v>0</v>
      </c>
      <c r="E56" s="9"/>
      <c r="F56" s="9"/>
      <c r="G56" s="5">
        <f t="shared" si="10"/>
        <v>0</v>
      </c>
    </row>
    <row r="57" spans="1:7">
      <c r="A57" s="7" t="s">
        <v>60</v>
      </c>
      <c r="B57" s="9">
        <v>37900</v>
      </c>
      <c r="C57" s="9">
        <v>0</v>
      </c>
      <c r="D57" s="9">
        <v>37900</v>
      </c>
      <c r="E57" s="9">
        <v>0</v>
      </c>
      <c r="F57" s="9">
        <v>0</v>
      </c>
      <c r="G57" s="5">
        <f t="shared" si="10"/>
        <v>37900</v>
      </c>
    </row>
    <row r="58" spans="1:7">
      <c r="A58" s="4" t="s">
        <v>61</v>
      </c>
      <c r="B58" s="5">
        <f>SUM(B59:B61)</f>
        <v>36395420</v>
      </c>
      <c r="C58" s="5">
        <f>SUM(C59:C61)</f>
        <v>25071542.260000002</v>
      </c>
      <c r="D58" s="5">
        <f>SUM(D59:D61)</f>
        <v>61466962.260000005</v>
      </c>
      <c r="E58" s="5">
        <f>SUM(E59:E61)</f>
        <v>7108744.1100000003</v>
      </c>
      <c r="F58" s="5">
        <f>SUM(F59:F61)</f>
        <v>4505572.5199999996</v>
      </c>
      <c r="G58" s="5">
        <f t="shared" ref="G58" si="11">SUM(G59:G61)</f>
        <v>54358218.150000006</v>
      </c>
    </row>
    <row r="59" spans="1:7">
      <c r="A59" s="7" t="s">
        <v>62</v>
      </c>
      <c r="B59" s="9">
        <v>36395420</v>
      </c>
      <c r="C59" s="9">
        <v>25071542.260000002</v>
      </c>
      <c r="D59" s="9">
        <v>61466962.260000005</v>
      </c>
      <c r="E59" s="9">
        <v>7108744.1100000003</v>
      </c>
      <c r="F59" s="9">
        <v>4505572.5199999996</v>
      </c>
      <c r="G59" s="9">
        <v>54358218.150000006</v>
      </c>
    </row>
    <row r="60" spans="1:7">
      <c r="A60" s="7" t="s">
        <v>63</v>
      </c>
      <c r="B60" s="9"/>
      <c r="C60" s="9"/>
      <c r="D60" s="9">
        <v>0</v>
      </c>
      <c r="E60" s="9"/>
      <c r="F60" s="9"/>
      <c r="G60" s="9">
        <v>0</v>
      </c>
    </row>
    <row r="61" spans="1:7">
      <c r="A61" s="7" t="s">
        <v>64</v>
      </c>
      <c r="B61" s="9"/>
      <c r="C61" s="9"/>
      <c r="D61" s="9">
        <v>0</v>
      </c>
      <c r="E61" s="9"/>
      <c r="F61" s="9"/>
      <c r="G61" s="9">
        <v>0</v>
      </c>
    </row>
    <row r="62" spans="1:7">
      <c r="A62" s="4" t="s">
        <v>65</v>
      </c>
      <c r="B62" s="5">
        <f>SUM(B63:B67,B69:B70)</f>
        <v>0</v>
      </c>
      <c r="C62" s="5">
        <f>SUM(C63:C67,C69:C70)</f>
        <v>0</v>
      </c>
      <c r="D62" s="5">
        <f>SUM(D63:D67,D69:D70)</f>
        <v>0</v>
      </c>
      <c r="E62" s="5">
        <f>SUM(E63:E67,E69:E70)</f>
        <v>0</v>
      </c>
      <c r="F62" s="5">
        <f>SUM(F63:F67,F69:F70)</f>
        <v>0</v>
      </c>
      <c r="G62" s="5">
        <f t="shared" ref="G62:G72" si="12">D62-E62</f>
        <v>0</v>
      </c>
    </row>
    <row r="63" spans="1:7">
      <c r="A63" s="7" t="s">
        <v>66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5">
        <f t="shared" si="12"/>
        <v>0</v>
      </c>
    </row>
    <row r="64" spans="1:7">
      <c r="A64" s="7" t="s">
        <v>67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5">
        <f t="shared" si="12"/>
        <v>0</v>
      </c>
    </row>
    <row r="65" spans="1:7">
      <c r="A65" s="7" t="s">
        <v>68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5">
        <f t="shared" si="12"/>
        <v>0</v>
      </c>
    </row>
    <row r="66" spans="1:7">
      <c r="A66" s="7" t="s">
        <v>69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5">
        <f t="shared" si="12"/>
        <v>0</v>
      </c>
    </row>
    <row r="67" spans="1:7">
      <c r="A67" s="7" t="s">
        <v>70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5">
        <f t="shared" si="12"/>
        <v>0</v>
      </c>
    </row>
    <row r="68" spans="1:7">
      <c r="A68" s="7" t="s">
        <v>71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5">
        <f t="shared" si="12"/>
        <v>0</v>
      </c>
    </row>
    <row r="69" spans="1:7">
      <c r="A69" s="7" t="s">
        <v>72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5">
        <f t="shared" si="12"/>
        <v>0</v>
      </c>
    </row>
    <row r="70" spans="1:7">
      <c r="A70" s="7" t="s">
        <v>73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5">
        <f t="shared" si="12"/>
        <v>0</v>
      </c>
    </row>
    <row r="71" spans="1:7">
      <c r="A71" s="4" t="s">
        <v>74</v>
      </c>
      <c r="B71" s="5">
        <f>SUM(B72:B74)</f>
        <v>0</v>
      </c>
      <c r="C71" s="5">
        <f>SUM(C72:C74)</f>
        <v>0</v>
      </c>
      <c r="D71" s="5">
        <f>SUM(D72:D74)</f>
        <v>0</v>
      </c>
      <c r="E71" s="5">
        <f>SUM(E72:E74)</f>
        <v>0</v>
      </c>
      <c r="F71" s="5">
        <f>SUM(F72:F74)</f>
        <v>0</v>
      </c>
      <c r="G71" s="5">
        <f t="shared" si="12"/>
        <v>0</v>
      </c>
    </row>
    <row r="72" spans="1:7">
      <c r="A72" s="7" t="s">
        <v>75</v>
      </c>
      <c r="B72" s="8">
        <v>0</v>
      </c>
      <c r="C72" s="8">
        <v>0</v>
      </c>
      <c r="D72" s="8">
        <v>0</v>
      </c>
      <c r="E72" s="8">
        <v>0</v>
      </c>
      <c r="F72" s="8">
        <v>0</v>
      </c>
      <c r="G72" s="5">
        <f t="shared" si="12"/>
        <v>0</v>
      </c>
    </row>
    <row r="73" spans="1:7">
      <c r="A73" s="7" t="s">
        <v>76</v>
      </c>
      <c r="B73" s="8">
        <v>0</v>
      </c>
      <c r="C73" s="8">
        <v>0</v>
      </c>
      <c r="D73" s="8">
        <v>0</v>
      </c>
      <c r="E73" s="8">
        <v>0</v>
      </c>
      <c r="F73" s="8">
        <v>0</v>
      </c>
      <c r="G73" s="5">
        <f t="shared" ref="G73:G80" si="13">D73-E73</f>
        <v>0</v>
      </c>
    </row>
    <row r="74" spans="1:7">
      <c r="A74" s="7" t="s">
        <v>77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5">
        <f t="shared" si="13"/>
        <v>0</v>
      </c>
    </row>
    <row r="75" spans="1:7">
      <c r="A75" s="4" t="s">
        <v>78</v>
      </c>
      <c r="B75" s="5">
        <f>SUM(B76:B82)</f>
        <v>0</v>
      </c>
      <c r="C75" s="5">
        <f>SUM(C76:C82)</f>
        <v>0</v>
      </c>
      <c r="D75" s="5">
        <f>SUM(D76:D82)</f>
        <v>0</v>
      </c>
      <c r="E75" s="5">
        <f>SUM(E76:E82)</f>
        <v>0</v>
      </c>
      <c r="F75" s="5">
        <f>SUM(F76:F82)</f>
        <v>0</v>
      </c>
      <c r="G75" s="5">
        <f t="shared" si="13"/>
        <v>0</v>
      </c>
    </row>
    <row r="76" spans="1:7">
      <c r="A76" s="7" t="s">
        <v>79</v>
      </c>
      <c r="B76" s="8">
        <v>0</v>
      </c>
      <c r="C76" s="8">
        <v>0</v>
      </c>
      <c r="D76" s="8">
        <v>0</v>
      </c>
      <c r="E76" s="8">
        <v>0</v>
      </c>
      <c r="F76" s="8">
        <v>0</v>
      </c>
      <c r="G76" s="5">
        <f t="shared" si="13"/>
        <v>0</v>
      </c>
    </row>
    <row r="77" spans="1:7">
      <c r="A77" s="7" t="s">
        <v>80</v>
      </c>
      <c r="B77" s="8">
        <v>0</v>
      </c>
      <c r="C77" s="8">
        <v>0</v>
      </c>
      <c r="D77" s="8">
        <v>0</v>
      </c>
      <c r="E77" s="8">
        <v>0</v>
      </c>
      <c r="F77" s="8">
        <v>0</v>
      </c>
      <c r="G77" s="5">
        <f t="shared" si="13"/>
        <v>0</v>
      </c>
    </row>
    <row r="78" spans="1:7">
      <c r="A78" s="7" t="s">
        <v>81</v>
      </c>
      <c r="B78" s="8">
        <v>0</v>
      </c>
      <c r="C78" s="8">
        <v>0</v>
      </c>
      <c r="D78" s="8">
        <v>0</v>
      </c>
      <c r="E78" s="8">
        <v>0</v>
      </c>
      <c r="F78" s="8">
        <v>0</v>
      </c>
      <c r="G78" s="5">
        <f t="shared" si="13"/>
        <v>0</v>
      </c>
    </row>
    <row r="79" spans="1:7">
      <c r="A79" s="7" t="s">
        <v>82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5">
        <f t="shared" si="13"/>
        <v>0</v>
      </c>
    </row>
    <row r="80" spans="1:7">
      <c r="A80" s="7" t="s">
        <v>83</v>
      </c>
      <c r="B80" s="8">
        <v>0</v>
      </c>
      <c r="C80" s="8">
        <v>0</v>
      </c>
      <c r="D80" s="8">
        <v>0</v>
      </c>
      <c r="E80" s="8">
        <v>0</v>
      </c>
      <c r="F80" s="8">
        <v>0</v>
      </c>
      <c r="G80" s="5">
        <f t="shared" si="13"/>
        <v>0</v>
      </c>
    </row>
    <row r="81" spans="1:7">
      <c r="A81" s="7" t="s">
        <v>84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5">
        <f>D81-E81</f>
        <v>0</v>
      </c>
    </row>
    <row r="82" spans="1:7">
      <c r="A82" s="7" t="s">
        <v>85</v>
      </c>
      <c r="B82" s="8">
        <v>0</v>
      </c>
      <c r="C82" s="8">
        <v>0</v>
      </c>
      <c r="D82" s="8">
        <v>0</v>
      </c>
      <c r="E82" s="8">
        <v>0</v>
      </c>
      <c r="F82" s="8">
        <v>0</v>
      </c>
      <c r="G82" s="5">
        <f>D82-E82</f>
        <v>0</v>
      </c>
    </row>
    <row r="83" spans="1:7">
      <c r="A83" s="10"/>
      <c r="B83" s="11"/>
      <c r="C83" s="11"/>
      <c r="D83" s="11"/>
      <c r="E83" s="11"/>
      <c r="F83" s="11"/>
      <c r="G83" s="118"/>
    </row>
    <row r="84" spans="1:7">
      <c r="A84" s="12" t="s">
        <v>86</v>
      </c>
      <c r="B84" s="3">
        <f t="shared" ref="B84:G84" si="14">SUM(B85,B93,B103,B113,B123,B133,B137,B146,B150)</f>
        <v>242751517.66000006</v>
      </c>
      <c r="C84" s="3">
        <f t="shared" si="14"/>
        <v>152771973.25</v>
      </c>
      <c r="D84" s="3">
        <f t="shared" si="14"/>
        <v>395523490.90999997</v>
      </c>
      <c r="E84" s="3">
        <f t="shared" si="14"/>
        <v>97069849.340000004</v>
      </c>
      <c r="F84" s="3">
        <f t="shared" si="14"/>
        <v>76678686.670000002</v>
      </c>
      <c r="G84" s="3">
        <f t="shared" si="14"/>
        <v>298453641.56999999</v>
      </c>
    </row>
    <row r="85" spans="1:7">
      <c r="A85" s="4" t="s">
        <v>13</v>
      </c>
      <c r="B85" s="5">
        <f>SUM(B86:B92)</f>
        <v>50341018.260000005</v>
      </c>
      <c r="C85" s="5">
        <f>SUM(C86:C92)</f>
        <v>4380970.37</v>
      </c>
      <c r="D85" s="5">
        <f>SUM(D86:D92)</f>
        <v>54721988.630000003</v>
      </c>
      <c r="E85" s="5">
        <f>SUM(E86:E92)</f>
        <v>8982782.8499999996</v>
      </c>
      <c r="F85" s="5">
        <f>SUM(F86:F92)</f>
        <v>8620529.0299999993</v>
      </c>
      <c r="G85" s="5">
        <f t="shared" ref="G85" si="15">SUM(G86:G92)</f>
        <v>45739205.780000001</v>
      </c>
    </row>
    <row r="86" spans="1:7">
      <c r="A86" s="7" t="s">
        <v>14</v>
      </c>
      <c r="B86" s="13">
        <v>32209856</v>
      </c>
      <c r="C86" s="13">
        <v>0</v>
      </c>
      <c r="D86" s="9">
        <v>32209856</v>
      </c>
      <c r="E86" s="13">
        <v>6543687.7699999996</v>
      </c>
      <c r="F86" s="13">
        <v>6537284.7199999997</v>
      </c>
      <c r="G86" s="5">
        <f>D86-E86</f>
        <v>25666168.23</v>
      </c>
    </row>
    <row r="87" spans="1:7">
      <c r="A87" s="7" t="s">
        <v>15</v>
      </c>
      <c r="B87" s="13">
        <v>480419.26</v>
      </c>
      <c r="C87" s="13">
        <v>2443970.37</v>
      </c>
      <c r="D87" s="9">
        <v>2924389.63</v>
      </c>
      <c r="E87" s="13">
        <v>0</v>
      </c>
      <c r="F87" s="13">
        <v>0</v>
      </c>
      <c r="G87" s="5">
        <f t="shared" ref="G87:G89" si="16">D87-E87</f>
        <v>2924389.63</v>
      </c>
    </row>
    <row r="88" spans="1:7">
      <c r="A88" s="7" t="s">
        <v>16</v>
      </c>
      <c r="B88" s="13">
        <v>6568743</v>
      </c>
      <c r="C88" s="13">
        <v>-3000</v>
      </c>
      <c r="D88" s="9">
        <v>6565743</v>
      </c>
      <c r="E88" s="13">
        <v>257991.71</v>
      </c>
      <c r="F88" s="13">
        <v>160059.66</v>
      </c>
      <c r="G88" s="5">
        <f t="shared" si="16"/>
        <v>6307751.29</v>
      </c>
    </row>
    <row r="89" spans="1:7">
      <c r="A89" s="7" t="s">
        <v>17</v>
      </c>
      <c r="B89" s="13">
        <v>4600000</v>
      </c>
      <c r="C89" s="13">
        <v>0</v>
      </c>
      <c r="D89" s="9">
        <v>4600000</v>
      </c>
      <c r="E89" s="13">
        <v>780204.55</v>
      </c>
      <c r="F89" s="13">
        <v>549364</v>
      </c>
      <c r="G89" s="5">
        <f t="shared" si="16"/>
        <v>3819795.45</v>
      </c>
    </row>
    <row r="90" spans="1:7">
      <c r="A90" s="7" t="s">
        <v>18</v>
      </c>
      <c r="B90" s="13">
        <v>6482000</v>
      </c>
      <c r="C90" s="13">
        <v>1940000</v>
      </c>
      <c r="D90" s="9">
        <v>8422000</v>
      </c>
      <c r="E90" s="13">
        <v>1400898.82</v>
      </c>
      <c r="F90" s="13">
        <v>1373820.65</v>
      </c>
      <c r="G90" s="5">
        <f>D90-E90</f>
        <v>7021101.1799999997</v>
      </c>
    </row>
    <row r="91" spans="1:7">
      <c r="A91" s="7" t="s">
        <v>19</v>
      </c>
      <c r="B91" s="13">
        <v>0</v>
      </c>
      <c r="C91" s="13">
        <v>0</v>
      </c>
      <c r="D91" s="9">
        <v>0</v>
      </c>
      <c r="E91" s="13">
        <v>0</v>
      </c>
      <c r="F91" s="13">
        <v>0</v>
      </c>
      <c r="G91" s="5">
        <f>D91-E91</f>
        <v>0</v>
      </c>
    </row>
    <row r="92" spans="1:7">
      <c r="A92" s="7" t="s">
        <v>20</v>
      </c>
      <c r="B92" s="13">
        <v>0</v>
      </c>
      <c r="C92" s="13">
        <v>0</v>
      </c>
      <c r="D92" s="9">
        <v>0</v>
      </c>
      <c r="E92" s="13">
        <v>0</v>
      </c>
      <c r="F92" s="13">
        <v>0</v>
      </c>
      <c r="G92" s="5">
        <f>D92-E92</f>
        <v>0</v>
      </c>
    </row>
    <row r="93" spans="1:7">
      <c r="A93" s="4" t="s">
        <v>21</v>
      </c>
      <c r="B93" s="5">
        <f t="shared" ref="B93:G93" si="17">SUM(B94:B102)</f>
        <v>16341786.399999999</v>
      </c>
      <c r="C93" s="5">
        <f t="shared" si="17"/>
        <v>10217858.200000001</v>
      </c>
      <c r="D93" s="5">
        <f t="shared" si="17"/>
        <v>26559644.600000001</v>
      </c>
      <c r="E93" s="5">
        <f t="shared" si="17"/>
        <v>3476256.91</v>
      </c>
      <c r="F93" s="5">
        <f t="shared" si="17"/>
        <v>2286344.65</v>
      </c>
      <c r="G93" s="5">
        <f t="shared" si="17"/>
        <v>23083387.689999998</v>
      </c>
    </row>
    <row r="94" spans="1:7">
      <c r="A94" s="7" t="s">
        <v>22</v>
      </c>
      <c r="B94" s="13">
        <v>507975.77</v>
      </c>
      <c r="C94" s="13">
        <v>4000</v>
      </c>
      <c r="D94" s="9">
        <v>511975.77</v>
      </c>
      <c r="E94" s="13">
        <v>84829.19</v>
      </c>
      <c r="F94" s="13">
        <v>5996.57</v>
      </c>
      <c r="G94" s="5">
        <f>D94-E94</f>
        <v>427146.58</v>
      </c>
    </row>
    <row r="95" spans="1:7">
      <c r="A95" s="7" t="s">
        <v>23</v>
      </c>
      <c r="B95" s="13">
        <v>127435.85</v>
      </c>
      <c r="C95" s="13">
        <v>-4000</v>
      </c>
      <c r="D95" s="9">
        <v>123435.85</v>
      </c>
      <c r="E95" s="13">
        <v>19356.849999999999</v>
      </c>
      <c r="F95" s="13">
        <v>969.4</v>
      </c>
      <c r="G95" s="5">
        <f t="shared" ref="G95:G102" si="18">D95-E95</f>
        <v>104079</v>
      </c>
    </row>
    <row r="96" spans="1:7">
      <c r="A96" s="7" t="s">
        <v>24</v>
      </c>
      <c r="B96" s="13">
        <v>16000</v>
      </c>
      <c r="C96" s="13">
        <v>0</v>
      </c>
      <c r="D96" s="9">
        <v>16000</v>
      </c>
      <c r="E96" s="13">
        <v>0</v>
      </c>
      <c r="F96" s="13">
        <v>0</v>
      </c>
      <c r="G96" s="5">
        <f t="shared" si="18"/>
        <v>16000</v>
      </c>
    </row>
    <row r="97" spans="1:7">
      <c r="A97" s="7" t="s">
        <v>25</v>
      </c>
      <c r="B97" s="13">
        <v>4181247.78</v>
      </c>
      <c r="C97" s="13">
        <v>4278559.6399999997</v>
      </c>
      <c r="D97" s="9">
        <v>8459807.4199999999</v>
      </c>
      <c r="E97" s="13">
        <v>678116.01</v>
      </c>
      <c r="F97" s="13">
        <v>193015.41</v>
      </c>
      <c r="G97" s="5">
        <f t="shared" si="18"/>
        <v>7781691.4100000001</v>
      </c>
    </row>
    <row r="98" spans="1:7">
      <c r="A98" s="14" t="s">
        <v>26</v>
      </c>
      <c r="B98" s="13">
        <v>61631</v>
      </c>
      <c r="C98" s="13">
        <v>157614.32</v>
      </c>
      <c r="D98" s="9">
        <v>219245.32</v>
      </c>
      <c r="E98" s="13">
        <v>4716.97</v>
      </c>
      <c r="F98" s="13">
        <v>0</v>
      </c>
      <c r="G98" s="5">
        <f t="shared" si="18"/>
        <v>214528.35</v>
      </c>
    </row>
    <row r="99" spans="1:7">
      <c r="A99" s="7" t="s">
        <v>27</v>
      </c>
      <c r="B99" s="13">
        <v>7424014</v>
      </c>
      <c r="C99" s="13">
        <v>4365000</v>
      </c>
      <c r="D99" s="9">
        <v>11789014</v>
      </c>
      <c r="E99" s="13">
        <v>2378456.33</v>
      </c>
      <c r="F99" s="13">
        <v>1939802.72</v>
      </c>
      <c r="G99" s="5">
        <f t="shared" si="18"/>
        <v>9410557.6699999999</v>
      </c>
    </row>
    <row r="100" spans="1:7">
      <c r="A100" s="7" t="s">
        <v>28</v>
      </c>
      <c r="B100" s="13">
        <v>1033021</v>
      </c>
      <c r="C100" s="13">
        <v>1534435</v>
      </c>
      <c r="D100" s="9">
        <v>2567456</v>
      </c>
      <c r="E100" s="13">
        <v>7362.98</v>
      </c>
      <c r="F100" s="13">
        <v>7362.98</v>
      </c>
      <c r="G100" s="5">
        <f t="shared" si="18"/>
        <v>2560093.02</v>
      </c>
    </row>
    <row r="101" spans="1:7">
      <c r="A101" s="7" t="s">
        <v>29</v>
      </c>
      <c r="B101" s="13">
        <v>48000</v>
      </c>
      <c r="C101" s="13">
        <v>48000</v>
      </c>
      <c r="D101" s="9">
        <v>96000</v>
      </c>
      <c r="E101" s="13">
        <v>0</v>
      </c>
      <c r="F101" s="13">
        <v>0</v>
      </c>
      <c r="G101" s="5">
        <f t="shared" si="18"/>
        <v>96000</v>
      </c>
    </row>
    <row r="102" spans="1:7">
      <c r="A102" s="7" t="s">
        <v>30</v>
      </c>
      <c r="B102" s="13">
        <v>2942461</v>
      </c>
      <c r="C102" s="13">
        <v>-165750.76</v>
      </c>
      <c r="D102" s="9">
        <v>2776710.24</v>
      </c>
      <c r="E102" s="13">
        <v>303418.58</v>
      </c>
      <c r="F102" s="13">
        <v>139197.57</v>
      </c>
      <c r="G102" s="5">
        <f t="shared" si="18"/>
        <v>2473291.66</v>
      </c>
    </row>
    <row r="103" spans="1:7">
      <c r="A103" s="4" t="s">
        <v>31</v>
      </c>
      <c r="B103" s="5">
        <f>SUM(B104:B112)</f>
        <v>21176763.350000001</v>
      </c>
      <c r="C103" s="5">
        <f>SUM(C104:C112)</f>
        <v>3043395.0100000002</v>
      </c>
      <c r="D103" s="5">
        <f>SUM(D104:D112)</f>
        <v>24220158.359999999</v>
      </c>
      <c r="E103" s="5">
        <f>SUM(E104:E112)</f>
        <v>3280914.79</v>
      </c>
      <c r="F103" s="5">
        <f>SUM(F104:F112)</f>
        <v>2974006.33</v>
      </c>
      <c r="G103" s="5">
        <f t="shared" ref="G103" si="19">SUM(G104:G112)</f>
        <v>20939243.57</v>
      </c>
    </row>
    <row r="104" spans="1:7">
      <c r="A104" s="7" t="s">
        <v>32</v>
      </c>
      <c r="B104" s="13">
        <v>2400</v>
      </c>
      <c r="C104" s="13">
        <v>5000</v>
      </c>
      <c r="D104" s="9">
        <v>7400</v>
      </c>
      <c r="E104" s="13">
        <v>0</v>
      </c>
      <c r="F104" s="13">
        <v>0</v>
      </c>
      <c r="G104" s="5">
        <f>D104-E104</f>
        <v>7400</v>
      </c>
    </row>
    <row r="105" spans="1:7">
      <c r="A105" s="7" t="s">
        <v>33</v>
      </c>
      <c r="B105" s="13">
        <v>28000</v>
      </c>
      <c r="C105" s="13">
        <v>-23000</v>
      </c>
      <c r="D105" s="9">
        <v>5000</v>
      </c>
      <c r="E105" s="13">
        <v>0</v>
      </c>
      <c r="F105" s="13">
        <v>0</v>
      </c>
      <c r="G105" s="5">
        <f t="shared" ref="G105:G112" si="20">D105-E105</f>
        <v>5000</v>
      </c>
    </row>
    <row r="106" spans="1:7">
      <c r="A106" s="7" t="s">
        <v>34</v>
      </c>
      <c r="B106" s="13">
        <v>1133000</v>
      </c>
      <c r="C106" s="13">
        <v>3677700</v>
      </c>
      <c r="D106" s="9">
        <v>4810700</v>
      </c>
      <c r="E106" s="13">
        <v>596941.80000000005</v>
      </c>
      <c r="F106" s="13">
        <v>596941.80000000005</v>
      </c>
      <c r="G106" s="5">
        <f t="shared" si="20"/>
        <v>4213758.2</v>
      </c>
    </row>
    <row r="107" spans="1:7">
      <c r="A107" s="7" t="s">
        <v>35</v>
      </c>
      <c r="B107" s="13">
        <v>1423375.5</v>
      </c>
      <c r="C107" s="13">
        <v>20769.91</v>
      </c>
      <c r="D107" s="9">
        <v>1444145.41</v>
      </c>
      <c r="E107" s="13">
        <v>525866.62</v>
      </c>
      <c r="F107" s="13">
        <v>330530.05</v>
      </c>
      <c r="G107" s="5">
        <f t="shared" si="20"/>
        <v>918278.78999999992</v>
      </c>
    </row>
    <row r="108" spans="1:7">
      <c r="A108" s="7" t="s">
        <v>36</v>
      </c>
      <c r="B108" s="13">
        <v>1457956.31</v>
      </c>
      <c r="C108" s="13">
        <v>40000</v>
      </c>
      <c r="D108" s="9">
        <v>1497956.31</v>
      </c>
      <c r="E108" s="13">
        <v>161171.60999999999</v>
      </c>
      <c r="F108" s="13">
        <v>75337.64</v>
      </c>
      <c r="G108" s="5">
        <f t="shared" si="20"/>
        <v>1336784.7000000002</v>
      </c>
    </row>
    <row r="109" spans="1:7">
      <c r="A109" s="7" t="s">
        <v>37</v>
      </c>
      <c r="B109" s="13">
        <v>0</v>
      </c>
      <c r="C109" s="13">
        <v>40000</v>
      </c>
      <c r="D109" s="9">
        <v>40000</v>
      </c>
      <c r="E109" s="13">
        <v>0</v>
      </c>
      <c r="F109" s="13">
        <v>0</v>
      </c>
      <c r="G109" s="5">
        <f t="shared" si="20"/>
        <v>40000</v>
      </c>
    </row>
    <row r="110" spans="1:7">
      <c r="A110" s="7" t="s">
        <v>38</v>
      </c>
      <c r="B110" s="13">
        <v>19000</v>
      </c>
      <c r="C110" s="13">
        <v>56000</v>
      </c>
      <c r="D110" s="9">
        <v>75000</v>
      </c>
      <c r="E110" s="13">
        <v>3887.92</v>
      </c>
      <c r="F110" s="13">
        <v>80</v>
      </c>
      <c r="G110" s="5">
        <f t="shared" si="20"/>
        <v>71112.08</v>
      </c>
    </row>
    <row r="111" spans="1:7">
      <c r="A111" s="7" t="s">
        <v>39</v>
      </c>
      <c r="B111" s="13">
        <v>5000000</v>
      </c>
      <c r="C111" s="13">
        <v>0</v>
      </c>
      <c r="D111" s="9">
        <v>5000000</v>
      </c>
      <c r="E111" s="13">
        <v>0</v>
      </c>
      <c r="F111" s="13">
        <v>0</v>
      </c>
      <c r="G111" s="5">
        <f t="shared" si="20"/>
        <v>5000000</v>
      </c>
    </row>
    <row r="112" spans="1:7">
      <c r="A112" s="7" t="s">
        <v>40</v>
      </c>
      <c r="B112" s="13">
        <v>12113031.539999999</v>
      </c>
      <c r="C112" s="13">
        <v>-773074.9</v>
      </c>
      <c r="D112" s="9">
        <v>11339956.639999999</v>
      </c>
      <c r="E112" s="13">
        <v>1993046.84</v>
      </c>
      <c r="F112" s="13">
        <v>1971116.84</v>
      </c>
      <c r="G112" s="5">
        <f t="shared" si="20"/>
        <v>9346909.7999999989</v>
      </c>
    </row>
    <row r="113" spans="1:7">
      <c r="A113" s="4" t="s">
        <v>41</v>
      </c>
      <c r="B113" s="5">
        <f>SUM(B114:B122)</f>
        <v>2863500</v>
      </c>
      <c r="C113" s="5">
        <f>SUM(C114:C122)</f>
        <v>6757000</v>
      </c>
      <c r="D113" s="5">
        <f>SUM(D114:D122)</f>
        <v>9620500</v>
      </c>
      <c r="E113" s="5">
        <f>SUM(E114:E122)</f>
        <v>0</v>
      </c>
      <c r="F113" s="5">
        <f>SUM(F114:F122)</f>
        <v>0</v>
      </c>
      <c r="G113" s="5">
        <f t="shared" ref="G113" si="21">SUM(G114:G122)</f>
        <v>9620500</v>
      </c>
    </row>
    <row r="114" spans="1:7">
      <c r="A114" s="7" t="s">
        <v>42</v>
      </c>
      <c r="B114" s="13">
        <v>0</v>
      </c>
      <c r="C114" s="13">
        <v>0</v>
      </c>
      <c r="D114" s="9">
        <v>0</v>
      </c>
      <c r="E114" s="13">
        <v>0</v>
      </c>
      <c r="F114" s="9">
        <v>0</v>
      </c>
      <c r="G114" s="5">
        <f>D114-E114</f>
        <v>0</v>
      </c>
    </row>
    <row r="115" spans="1:7">
      <c r="A115" s="7" t="s">
        <v>43</v>
      </c>
      <c r="B115" s="13">
        <v>0</v>
      </c>
      <c r="C115" s="13">
        <v>0</v>
      </c>
      <c r="D115" s="9">
        <v>0</v>
      </c>
      <c r="E115" s="13">
        <v>0</v>
      </c>
      <c r="F115" s="9">
        <v>0</v>
      </c>
      <c r="G115" s="5">
        <f t="shared" ref="G115:G122" si="22">D115-E115</f>
        <v>0</v>
      </c>
    </row>
    <row r="116" spans="1:7">
      <c r="A116" s="7" t="s">
        <v>44</v>
      </c>
      <c r="B116" s="13">
        <v>2663500</v>
      </c>
      <c r="C116" s="13">
        <v>4352000</v>
      </c>
      <c r="D116" s="9">
        <v>7015500</v>
      </c>
      <c r="E116" s="13">
        <v>0</v>
      </c>
      <c r="F116" s="13">
        <v>0</v>
      </c>
      <c r="G116" s="5">
        <f t="shared" si="22"/>
        <v>7015500</v>
      </c>
    </row>
    <row r="117" spans="1:7">
      <c r="A117" s="7" t="s">
        <v>45</v>
      </c>
      <c r="B117" s="13">
        <v>200000</v>
      </c>
      <c r="C117" s="13">
        <v>2405000</v>
      </c>
      <c r="D117" s="9">
        <v>2605000</v>
      </c>
      <c r="E117" s="13">
        <v>0</v>
      </c>
      <c r="F117" s="13">
        <v>0</v>
      </c>
      <c r="G117" s="5">
        <f t="shared" si="22"/>
        <v>2605000</v>
      </c>
    </row>
    <row r="118" spans="1:7">
      <c r="A118" s="7" t="s">
        <v>46</v>
      </c>
      <c r="B118" s="13">
        <v>0</v>
      </c>
      <c r="C118" s="13">
        <v>0</v>
      </c>
      <c r="D118" s="9">
        <v>0</v>
      </c>
      <c r="E118" s="9">
        <v>0</v>
      </c>
      <c r="F118" s="9">
        <v>0</v>
      </c>
      <c r="G118" s="5">
        <f t="shared" si="22"/>
        <v>0</v>
      </c>
    </row>
    <row r="119" spans="1:7">
      <c r="A119" s="7" t="s">
        <v>47</v>
      </c>
      <c r="B119" s="13">
        <v>0</v>
      </c>
      <c r="C119" s="13">
        <v>0</v>
      </c>
      <c r="D119" s="9">
        <v>0</v>
      </c>
      <c r="E119" s="9">
        <v>0</v>
      </c>
      <c r="F119" s="9">
        <v>0</v>
      </c>
      <c r="G119" s="5">
        <f t="shared" si="22"/>
        <v>0</v>
      </c>
    </row>
    <row r="120" spans="1:7">
      <c r="A120" s="7" t="s">
        <v>48</v>
      </c>
      <c r="B120" s="13">
        <v>0</v>
      </c>
      <c r="C120" s="13">
        <v>0</v>
      </c>
      <c r="D120" s="9">
        <v>0</v>
      </c>
      <c r="E120" s="9">
        <v>0</v>
      </c>
      <c r="F120" s="9">
        <v>0</v>
      </c>
      <c r="G120" s="5">
        <f t="shared" si="22"/>
        <v>0</v>
      </c>
    </row>
    <row r="121" spans="1:7">
      <c r="A121" s="7" t="s">
        <v>49</v>
      </c>
      <c r="B121" s="13">
        <v>0</v>
      </c>
      <c r="C121" s="13">
        <v>0</v>
      </c>
      <c r="D121" s="9">
        <v>0</v>
      </c>
      <c r="E121" s="9">
        <v>0</v>
      </c>
      <c r="F121" s="9">
        <v>0</v>
      </c>
      <c r="G121" s="5">
        <f t="shared" si="22"/>
        <v>0</v>
      </c>
    </row>
    <row r="122" spans="1:7">
      <c r="A122" s="7" t="s">
        <v>50</v>
      </c>
      <c r="B122" s="13">
        <v>0</v>
      </c>
      <c r="C122" s="13">
        <v>0</v>
      </c>
      <c r="D122" s="9">
        <v>0</v>
      </c>
      <c r="E122" s="9">
        <v>0</v>
      </c>
      <c r="F122" s="9">
        <v>0</v>
      </c>
      <c r="G122" s="5">
        <f t="shared" si="22"/>
        <v>0</v>
      </c>
    </row>
    <row r="123" spans="1:7">
      <c r="A123" s="4" t="s">
        <v>51</v>
      </c>
      <c r="B123" s="5">
        <f>SUM(B124:B132)</f>
        <v>2912500</v>
      </c>
      <c r="C123" s="5">
        <f>SUM(C124:C132)</f>
        <v>3443276.74</v>
      </c>
      <c r="D123" s="5">
        <f>SUM(D124:D132)</f>
        <v>6355776.7400000002</v>
      </c>
      <c r="E123" s="5">
        <f>SUM(E124:E132)</f>
        <v>89666.22</v>
      </c>
      <c r="F123" s="5">
        <f>SUM(F124:F132)</f>
        <v>0</v>
      </c>
      <c r="G123" s="5">
        <f t="shared" ref="G123" si="23">SUM(G124:G132)</f>
        <v>6266110.5199999996</v>
      </c>
    </row>
    <row r="124" spans="1:7">
      <c r="A124" s="7" t="s">
        <v>52</v>
      </c>
      <c r="B124" s="13">
        <v>377000</v>
      </c>
      <c r="C124" s="13">
        <v>101694.74</v>
      </c>
      <c r="D124" s="9">
        <v>478694.74</v>
      </c>
      <c r="E124" s="13">
        <v>85016.23</v>
      </c>
      <c r="F124" s="13">
        <v>0</v>
      </c>
      <c r="G124" s="5">
        <f>D124-E124</f>
        <v>393678.51</v>
      </c>
    </row>
    <row r="125" spans="1:7">
      <c r="A125" s="7" t="s">
        <v>53</v>
      </c>
      <c r="B125" s="13">
        <v>32000</v>
      </c>
      <c r="C125" s="13">
        <v>411782</v>
      </c>
      <c r="D125" s="9">
        <v>443782</v>
      </c>
      <c r="E125" s="13">
        <v>0</v>
      </c>
      <c r="F125" s="13">
        <v>0</v>
      </c>
      <c r="G125" s="5">
        <f t="shared" ref="G125:G132" si="24">D125-E125</f>
        <v>443782</v>
      </c>
    </row>
    <row r="126" spans="1:7">
      <c r="A126" s="7" t="s">
        <v>54</v>
      </c>
      <c r="B126" s="13">
        <v>0</v>
      </c>
      <c r="C126" s="13">
        <v>0</v>
      </c>
      <c r="D126" s="9">
        <v>0</v>
      </c>
      <c r="E126" s="9">
        <v>0</v>
      </c>
      <c r="F126" s="9">
        <v>0</v>
      </c>
      <c r="G126" s="5">
        <f t="shared" si="24"/>
        <v>0</v>
      </c>
    </row>
    <row r="127" spans="1:7">
      <c r="A127" s="7" t="s">
        <v>55</v>
      </c>
      <c r="B127" s="13">
        <v>2150000</v>
      </c>
      <c r="C127" s="13">
        <v>1500000</v>
      </c>
      <c r="D127" s="9">
        <v>3650000</v>
      </c>
      <c r="E127" s="13">
        <v>0</v>
      </c>
      <c r="F127" s="13">
        <v>0</v>
      </c>
      <c r="G127" s="5">
        <f t="shared" si="24"/>
        <v>3650000</v>
      </c>
    </row>
    <row r="128" spans="1:7">
      <c r="A128" s="7" t="s">
        <v>56</v>
      </c>
      <c r="B128" s="13">
        <v>0</v>
      </c>
      <c r="C128" s="13">
        <v>1636800</v>
      </c>
      <c r="D128" s="9">
        <v>1636800</v>
      </c>
      <c r="E128" s="13">
        <v>0</v>
      </c>
      <c r="F128" s="13">
        <v>0</v>
      </c>
      <c r="G128" s="5">
        <f t="shared" si="24"/>
        <v>1636800</v>
      </c>
    </row>
    <row r="129" spans="1:7">
      <c r="A129" s="7" t="s">
        <v>57</v>
      </c>
      <c r="B129" s="13">
        <v>333500</v>
      </c>
      <c r="C129" s="13">
        <v>-207000</v>
      </c>
      <c r="D129" s="9">
        <v>126500</v>
      </c>
      <c r="E129" s="13">
        <v>4649.99</v>
      </c>
      <c r="F129" s="13">
        <v>0</v>
      </c>
      <c r="G129" s="5">
        <f t="shared" si="24"/>
        <v>121850.01</v>
      </c>
    </row>
    <row r="130" spans="1:7">
      <c r="A130" s="7" t="s">
        <v>58</v>
      </c>
      <c r="B130" s="13">
        <v>0</v>
      </c>
      <c r="C130" s="13">
        <v>0</v>
      </c>
      <c r="D130" s="9">
        <v>0</v>
      </c>
      <c r="E130" s="9">
        <v>0</v>
      </c>
      <c r="F130" s="9">
        <v>0</v>
      </c>
      <c r="G130" s="5">
        <f t="shared" si="24"/>
        <v>0</v>
      </c>
    </row>
    <row r="131" spans="1:7">
      <c r="A131" s="7" t="s">
        <v>59</v>
      </c>
      <c r="B131" s="13">
        <v>0</v>
      </c>
      <c r="C131" s="13">
        <v>0</v>
      </c>
      <c r="D131" s="9">
        <v>0</v>
      </c>
      <c r="E131" s="9">
        <v>0</v>
      </c>
      <c r="F131" s="9">
        <v>0</v>
      </c>
      <c r="G131" s="5">
        <f t="shared" si="24"/>
        <v>0</v>
      </c>
    </row>
    <row r="132" spans="1:7">
      <c r="A132" s="7" t="s">
        <v>60</v>
      </c>
      <c r="B132" s="13">
        <v>20000</v>
      </c>
      <c r="C132" s="13">
        <v>0</v>
      </c>
      <c r="D132" s="9">
        <v>20000</v>
      </c>
      <c r="E132" s="13">
        <v>0</v>
      </c>
      <c r="F132" s="13">
        <v>0</v>
      </c>
      <c r="G132" s="5">
        <f t="shared" si="24"/>
        <v>20000</v>
      </c>
    </row>
    <row r="133" spans="1:7">
      <c r="A133" s="4" t="s">
        <v>61</v>
      </c>
      <c r="B133" s="5">
        <f t="shared" ref="B133:G133" si="25">SUM(B134:B136)</f>
        <v>145192538.57000002</v>
      </c>
      <c r="C133" s="5">
        <f t="shared" si="25"/>
        <v>124929472.93000001</v>
      </c>
      <c r="D133" s="5">
        <f t="shared" si="25"/>
        <v>270122011.5</v>
      </c>
      <c r="E133" s="5">
        <f t="shared" si="25"/>
        <v>80547670.260000005</v>
      </c>
      <c r="F133" s="5">
        <f t="shared" si="25"/>
        <v>62105248.350000001</v>
      </c>
      <c r="G133" s="5">
        <f t="shared" si="25"/>
        <v>189574341.24000004</v>
      </c>
    </row>
    <row r="134" spans="1:7">
      <c r="A134" s="7" t="s">
        <v>62</v>
      </c>
      <c r="B134" s="13">
        <v>144895169.61000001</v>
      </c>
      <c r="C134" s="13">
        <v>124929472.93000001</v>
      </c>
      <c r="D134" s="9">
        <v>269824642.54000002</v>
      </c>
      <c r="E134" s="13">
        <f>81332574.97-784904.71</f>
        <v>80547670.260000005</v>
      </c>
      <c r="F134" s="13">
        <f>62890153.06-784904.71</f>
        <v>62105248.350000001</v>
      </c>
      <c r="G134" s="5">
        <f>D134-E134</f>
        <v>189276972.28000003</v>
      </c>
    </row>
    <row r="135" spans="1:7">
      <c r="A135" s="7" t="s">
        <v>63</v>
      </c>
      <c r="B135" s="13">
        <v>0</v>
      </c>
      <c r="C135" s="13">
        <v>0</v>
      </c>
      <c r="D135" s="9">
        <v>0</v>
      </c>
      <c r="E135" s="9">
        <v>0</v>
      </c>
      <c r="F135" s="9">
        <v>0</v>
      </c>
      <c r="G135" s="5">
        <f t="shared" ref="G135:G136" si="26">D135-E135</f>
        <v>0</v>
      </c>
    </row>
    <row r="136" spans="1:7">
      <c r="A136" s="7" t="s">
        <v>64</v>
      </c>
      <c r="B136" s="13">
        <v>297368.96000000002</v>
      </c>
      <c r="C136" s="13">
        <v>0</v>
      </c>
      <c r="D136" s="9">
        <v>297368.96000000002</v>
      </c>
      <c r="E136" s="13">
        <v>0</v>
      </c>
      <c r="F136" s="13">
        <v>0</v>
      </c>
      <c r="G136" s="5">
        <f t="shared" si="26"/>
        <v>297368.96000000002</v>
      </c>
    </row>
    <row r="137" spans="1:7">
      <c r="A137" s="4" t="s">
        <v>65</v>
      </c>
      <c r="B137" s="5">
        <f t="shared" ref="B137:G137" si="27">SUM(B138:B142,B144:B145)</f>
        <v>0</v>
      </c>
      <c r="C137" s="5">
        <f t="shared" si="27"/>
        <v>0</v>
      </c>
      <c r="D137" s="5">
        <f t="shared" si="27"/>
        <v>0</v>
      </c>
      <c r="E137" s="5">
        <f t="shared" si="27"/>
        <v>0</v>
      </c>
      <c r="F137" s="5">
        <f t="shared" si="27"/>
        <v>0</v>
      </c>
      <c r="G137" s="5">
        <f t="shared" si="27"/>
        <v>0</v>
      </c>
    </row>
    <row r="138" spans="1:7">
      <c r="A138" s="7" t="s">
        <v>66</v>
      </c>
      <c r="B138" s="13">
        <v>0</v>
      </c>
      <c r="C138" s="13">
        <v>0</v>
      </c>
      <c r="D138" s="9">
        <v>0</v>
      </c>
      <c r="E138" s="13">
        <v>0</v>
      </c>
      <c r="F138" s="13">
        <v>0</v>
      </c>
      <c r="G138" s="5">
        <f>D138-E138</f>
        <v>0</v>
      </c>
    </row>
    <row r="139" spans="1:7">
      <c r="A139" s="7" t="s">
        <v>67</v>
      </c>
      <c r="B139" s="13">
        <v>0</v>
      </c>
      <c r="C139" s="13">
        <v>0</v>
      </c>
      <c r="D139" s="9">
        <v>0</v>
      </c>
      <c r="E139" s="13">
        <v>0</v>
      </c>
      <c r="F139" s="13">
        <v>0</v>
      </c>
      <c r="G139" s="5">
        <f t="shared" ref="G139:G145" si="28">D139-E139</f>
        <v>0</v>
      </c>
    </row>
    <row r="140" spans="1:7">
      <c r="A140" s="7" t="s">
        <v>68</v>
      </c>
      <c r="B140" s="13">
        <v>0</v>
      </c>
      <c r="C140" s="13">
        <v>0</v>
      </c>
      <c r="D140" s="9">
        <v>0</v>
      </c>
      <c r="E140" s="13">
        <v>0</v>
      </c>
      <c r="F140" s="13">
        <v>0</v>
      </c>
      <c r="G140" s="5">
        <f t="shared" si="28"/>
        <v>0</v>
      </c>
    </row>
    <row r="141" spans="1:7">
      <c r="A141" s="7" t="s">
        <v>69</v>
      </c>
      <c r="B141" s="13">
        <v>0</v>
      </c>
      <c r="C141" s="13">
        <v>0</v>
      </c>
      <c r="D141" s="9">
        <v>0</v>
      </c>
      <c r="E141" s="13">
        <v>0</v>
      </c>
      <c r="F141" s="13">
        <v>0</v>
      </c>
      <c r="G141" s="5">
        <f t="shared" si="28"/>
        <v>0</v>
      </c>
    </row>
    <row r="142" spans="1:7">
      <c r="A142" s="7" t="s">
        <v>70</v>
      </c>
      <c r="B142" s="13">
        <v>0</v>
      </c>
      <c r="C142" s="13">
        <v>0</v>
      </c>
      <c r="D142" s="9">
        <v>0</v>
      </c>
      <c r="E142" s="13">
        <v>0</v>
      </c>
      <c r="F142" s="13">
        <v>0</v>
      </c>
      <c r="G142" s="5">
        <f t="shared" si="28"/>
        <v>0</v>
      </c>
    </row>
    <row r="143" spans="1:7">
      <c r="A143" s="7" t="s">
        <v>71</v>
      </c>
      <c r="B143" s="13">
        <v>0</v>
      </c>
      <c r="C143" s="13">
        <v>0</v>
      </c>
      <c r="D143" s="9">
        <v>0</v>
      </c>
      <c r="E143" s="13">
        <v>0</v>
      </c>
      <c r="F143" s="13">
        <v>0</v>
      </c>
      <c r="G143" s="5">
        <f t="shared" si="28"/>
        <v>0</v>
      </c>
    </row>
    <row r="144" spans="1:7">
      <c r="A144" s="7" t="s">
        <v>72</v>
      </c>
      <c r="B144" s="13">
        <v>0</v>
      </c>
      <c r="C144" s="13">
        <v>0</v>
      </c>
      <c r="D144" s="9">
        <v>0</v>
      </c>
      <c r="E144" s="13">
        <v>0</v>
      </c>
      <c r="F144" s="13">
        <v>0</v>
      </c>
      <c r="G144" s="5">
        <f t="shared" si="28"/>
        <v>0</v>
      </c>
    </row>
    <row r="145" spans="1:7">
      <c r="A145" s="7" t="s">
        <v>73</v>
      </c>
      <c r="B145" s="13">
        <v>0</v>
      </c>
      <c r="C145" s="13">
        <v>0</v>
      </c>
      <c r="D145" s="9">
        <v>0</v>
      </c>
      <c r="E145" s="13">
        <v>0</v>
      </c>
      <c r="F145" s="13">
        <v>0</v>
      </c>
      <c r="G145" s="5">
        <f t="shared" si="28"/>
        <v>0</v>
      </c>
    </row>
    <row r="146" spans="1:7">
      <c r="A146" s="4" t="s">
        <v>74</v>
      </c>
      <c r="B146" s="5">
        <f>SUM(B147:B149)</f>
        <v>0</v>
      </c>
      <c r="C146" s="5">
        <f>SUM(C147:C149)</f>
        <v>0</v>
      </c>
      <c r="D146" s="5">
        <f>SUM(D147:D149)</f>
        <v>0</v>
      </c>
      <c r="E146" s="5">
        <f>SUM(E147:E149)</f>
        <v>0</v>
      </c>
      <c r="F146" s="5">
        <f>SUM(F147:F149)</f>
        <v>0</v>
      </c>
      <c r="G146" s="5">
        <f t="shared" ref="G146" si="29">SUM(G147:G149)</f>
        <v>0</v>
      </c>
    </row>
    <row r="147" spans="1:7">
      <c r="A147" s="7" t="s">
        <v>75</v>
      </c>
      <c r="B147" s="13">
        <v>0</v>
      </c>
      <c r="C147" s="13">
        <v>0</v>
      </c>
      <c r="D147" s="9">
        <v>0</v>
      </c>
      <c r="E147" s="13">
        <v>0</v>
      </c>
      <c r="F147" s="13">
        <v>0</v>
      </c>
      <c r="G147" s="5">
        <f>D147-E147</f>
        <v>0</v>
      </c>
    </row>
    <row r="148" spans="1:7">
      <c r="A148" s="7" t="s">
        <v>76</v>
      </c>
      <c r="B148" s="13">
        <v>0</v>
      </c>
      <c r="C148" s="13">
        <v>0</v>
      </c>
      <c r="D148" s="9">
        <v>0</v>
      </c>
      <c r="E148" s="13">
        <v>0</v>
      </c>
      <c r="F148" s="13">
        <v>0</v>
      </c>
      <c r="G148" s="5">
        <f t="shared" ref="G148:G149" si="30">D148-E148</f>
        <v>0</v>
      </c>
    </row>
    <row r="149" spans="1:7">
      <c r="A149" s="7" t="s">
        <v>77</v>
      </c>
      <c r="B149" s="13">
        <v>0</v>
      </c>
      <c r="C149" s="13">
        <v>0</v>
      </c>
      <c r="D149" s="9">
        <v>0</v>
      </c>
      <c r="E149" s="13">
        <v>0</v>
      </c>
      <c r="F149" s="13">
        <v>0</v>
      </c>
      <c r="G149" s="5">
        <f t="shared" si="30"/>
        <v>0</v>
      </c>
    </row>
    <row r="150" spans="1:7">
      <c r="A150" s="4" t="s">
        <v>78</v>
      </c>
      <c r="B150" s="5">
        <f t="shared" ref="B150:G150" si="31">SUM(B151:B157)</f>
        <v>3923411.08</v>
      </c>
      <c r="C150" s="5">
        <f t="shared" si="31"/>
        <v>0</v>
      </c>
      <c r="D150" s="5">
        <f t="shared" si="31"/>
        <v>3923411.08</v>
      </c>
      <c r="E150" s="5">
        <f t="shared" si="31"/>
        <v>692558.31</v>
      </c>
      <c r="F150" s="5">
        <f t="shared" si="31"/>
        <v>692558.31</v>
      </c>
      <c r="G150" s="5">
        <f t="shared" si="31"/>
        <v>3230852.77</v>
      </c>
    </row>
    <row r="151" spans="1:7">
      <c r="A151" s="7" t="s">
        <v>79</v>
      </c>
      <c r="B151" s="13">
        <v>2423411.08</v>
      </c>
      <c r="C151" s="13">
        <v>0</v>
      </c>
      <c r="D151" s="9">
        <v>2423411.08</v>
      </c>
      <c r="E151" s="13">
        <v>692558.31</v>
      </c>
      <c r="F151" s="13">
        <v>692558.31</v>
      </c>
      <c r="G151" s="5">
        <f>D151-E151</f>
        <v>1730852.77</v>
      </c>
    </row>
    <row r="152" spans="1:7">
      <c r="A152" s="7" t="s">
        <v>80</v>
      </c>
      <c r="B152" s="13">
        <v>1500000</v>
      </c>
      <c r="C152" s="13">
        <v>0</v>
      </c>
      <c r="D152" s="9">
        <v>1500000</v>
      </c>
      <c r="E152" s="13">
        <v>0</v>
      </c>
      <c r="F152" s="13">
        <v>0</v>
      </c>
      <c r="G152" s="5">
        <f>D152-E152</f>
        <v>1500000</v>
      </c>
    </row>
    <row r="153" spans="1:7">
      <c r="A153" s="7" t="s">
        <v>81</v>
      </c>
      <c r="B153" s="13">
        <v>0</v>
      </c>
      <c r="C153" s="13">
        <v>0</v>
      </c>
      <c r="D153" s="9">
        <v>0</v>
      </c>
      <c r="E153" s="13">
        <v>0</v>
      </c>
      <c r="F153" s="13">
        <v>0</v>
      </c>
      <c r="G153" s="5">
        <f>D153-E153</f>
        <v>0</v>
      </c>
    </row>
    <row r="154" spans="1:7">
      <c r="A154" s="14" t="s">
        <v>82</v>
      </c>
      <c r="B154" s="13">
        <v>0</v>
      </c>
      <c r="C154" s="13">
        <v>0</v>
      </c>
      <c r="D154" s="9">
        <v>0</v>
      </c>
      <c r="E154" s="13">
        <v>0</v>
      </c>
      <c r="F154" s="13">
        <v>0</v>
      </c>
      <c r="G154" s="5">
        <f t="shared" ref="G154:G157" si="32">D154-E154</f>
        <v>0</v>
      </c>
    </row>
    <row r="155" spans="1:7">
      <c r="A155" s="7" t="s">
        <v>83</v>
      </c>
      <c r="B155" s="13">
        <v>0</v>
      </c>
      <c r="C155" s="13">
        <v>0</v>
      </c>
      <c r="D155" s="9">
        <v>0</v>
      </c>
      <c r="E155" s="13">
        <v>0</v>
      </c>
      <c r="F155" s="13">
        <v>0</v>
      </c>
      <c r="G155" s="5">
        <f t="shared" si="32"/>
        <v>0</v>
      </c>
    </row>
    <row r="156" spans="1:7">
      <c r="A156" s="7" t="s">
        <v>84</v>
      </c>
      <c r="B156" s="13">
        <v>0</v>
      </c>
      <c r="C156" s="13">
        <v>0</v>
      </c>
      <c r="D156" s="9">
        <v>0</v>
      </c>
      <c r="E156" s="13">
        <v>0</v>
      </c>
      <c r="F156" s="13">
        <v>0</v>
      </c>
      <c r="G156" s="5">
        <f t="shared" si="32"/>
        <v>0</v>
      </c>
    </row>
    <row r="157" spans="1:7">
      <c r="A157" s="7" t="s">
        <v>85</v>
      </c>
      <c r="B157" s="13">
        <v>0</v>
      </c>
      <c r="C157" s="13">
        <v>0</v>
      </c>
      <c r="D157" s="9">
        <v>0</v>
      </c>
      <c r="E157" s="13">
        <v>0</v>
      </c>
      <c r="F157" s="13">
        <v>0</v>
      </c>
      <c r="G157" s="5">
        <f t="shared" si="32"/>
        <v>0</v>
      </c>
    </row>
    <row r="158" spans="1:7">
      <c r="A158" s="15"/>
      <c r="B158" s="11"/>
      <c r="C158" s="11"/>
      <c r="D158" s="11"/>
      <c r="E158" s="11"/>
      <c r="F158" s="11"/>
      <c r="G158" s="118"/>
    </row>
    <row r="159" spans="1:7">
      <c r="A159" s="16" t="s">
        <v>87</v>
      </c>
      <c r="B159" s="3">
        <f t="shared" ref="B159:F159" si="33">B9+B84</f>
        <v>452871523.95000005</v>
      </c>
      <c r="C159" s="3">
        <f t="shared" si="33"/>
        <v>185076716.15000001</v>
      </c>
      <c r="D159" s="3">
        <f t="shared" si="33"/>
        <v>637948240.0999999</v>
      </c>
      <c r="E159" s="3">
        <f t="shared" si="33"/>
        <v>139807412.53999999</v>
      </c>
      <c r="F159" s="3">
        <f t="shared" si="33"/>
        <v>115316443.06</v>
      </c>
      <c r="G159" s="3">
        <f>G9+G84</f>
        <v>498140827.56</v>
      </c>
    </row>
    <row r="160" spans="1:7">
      <c r="A160" s="17"/>
      <c r="B160" s="18"/>
      <c r="C160" s="18"/>
      <c r="D160" s="18"/>
      <c r="E160" s="18"/>
      <c r="F160" s="18"/>
      <c r="G160" s="119"/>
    </row>
    <row r="161" spans="1:1" hidden="1">
      <c r="A161" s="19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workbookViewId="0">
      <selection activeCell="A5" sqref="A5:G5"/>
    </sheetView>
  </sheetViews>
  <sheetFormatPr baseColWidth="10" defaultColWidth="0" defaultRowHeight="15" zeroHeight="1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>
      <c r="A1" s="200" t="s">
        <v>380</v>
      </c>
      <c r="B1" s="200"/>
      <c r="C1" s="200"/>
      <c r="D1" s="200"/>
      <c r="E1" s="200"/>
      <c r="F1" s="200"/>
      <c r="G1" s="200"/>
    </row>
    <row r="2" spans="1:7">
      <c r="A2" s="179" t="s">
        <v>629</v>
      </c>
      <c r="B2" s="180"/>
      <c r="C2" s="180"/>
      <c r="D2" s="180"/>
      <c r="E2" s="180"/>
      <c r="F2" s="180"/>
      <c r="G2" s="181"/>
    </row>
    <row r="3" spans="1:7">
      <c r="A3" s="182" t="s">
        <v>1</v>
      </c>
      <c r="B3" s="183"/>
      <c r="C3" s="183"/>
      <c r="D3" s="183"/>
      <c r="E3" s="183"/>
      <c r="F3" s="183"/>
      <c r="G3" s="184"/>
    </row>
    <row r="4" spans="1:7">
      <c r="A4" s="182" t="s">
        <v>381</v>
      </c>
      <c r="B4" s="183"/>
      <c r="C4" s="183"/>
      <c r="D4" s="183"/>
      <c r="E4" s="183"/>
      <c r="F4" s="183"/>
      <c r="G4" s="184"/>
    </row>
    <row r="5" spans="1:7">
      <c r="A5" s="185" t="s">
        <v>627</v>
      </c>
      <c r="B5" s="186"/>
      <c r="C5" s="186"/>
      <c r="D5" s="186"/>
      <c r="E5" s="186"/>
      <c r="F5" s="186"/>
      <c r="G5" s="187"/>
    </row>
    <row r="6" spans="1:7">
      <c r="A6" s="188" t="s">
        <v>3</v>
      </c>
      <c r="B6" s="189"/>
      <c r="C6" s="189"/>
      <c r="D6" s="189"/>
      <c r="E6" s="189"/>
      <c r="F6" s="189"/>
      <c r="G6" s="190"/>
    </row>
    <row r="7" spans="1:7">
      <c r="A7" s="193" t="s">
        <v>4</v>
      </c>
      <c r="B7" s="195" t="s">
        <v>5</v>
      </c>
      <c r="C7" s="195"/>
      <c r="D7" s="195"/>
      <c r="E7" s="195"/>
      <c r="F7" s="195"/>
      <c r="G7" s="204" t="s">
        <v>6</v>
      </c>
    </row>
    <row r="8" spans="1:7" ht="30">
      <c r="A8" s="194"/>
      <c r="B8" s="99" t="s">
        <v>7</v>
      </c>
      <c r="C8" s="1" t="s">
        <v>315</v>
      </c>
      <c r="D8" s="99" t="s">
        <v>316</v>
      </c>
      <c r="E8" s="99" t="s">
        <v>10</v>
      </c>
      <c r="F8" s="99" t="s">
        <v>288</v>
      </c>
      <c r="G8" s="197"/>
    </row>
    <row r="9" spans="1:7">
      <c r="A9" s="100" t="s">
        <v>382</v>
      </c>
      <c r="B9" s="117">
        <f>SUM(B10:B64:GASTO_NE_FIN_01)</f>
        <v>210120006.29000002</v>
      </c>
      <c r="C9" s="117">
        <f>SUM(C10:C64)</f>
        <v>32304742.899999999</v>
      </c>
      <c r="D9" s="117">
        <f>SUM(D10:D64)</f>
        <v>242424749.19</v>
      </c>
      <c r="E9" s="117">
        <f>SUM(E10:E64)</f>
        <v>42737563.199999996</v>
      </c>
      <c r="F9" s="117">
        <f>SUM(F10:F64)</f>
        <v>38637756.390000001</v>
      </c>
      <c r="G9" s="117">
        <f>SUM(G10:G64)</f>
        <v>199687185.98999998</v>
      </c>
    </row>
    <row r="10" spans="1:7" s="65" customFormat="1">
      <c r="A10" s="114" t="s">
        <v>384</v>
      </c>
      <c r="B10" s="115">
        <v>1908532.08</v>
      </c>
      <c r="C10" s="115">
        <v>15478.199999999953</v>
      </c>
      <c r="D10" s="115">
        <v>1924010.28</v>
      </c>
      <c r="E10" s="115">
        <v>384697.48</v>
      </c>
      <c r="F10" s="115">
        <v>384697.48</v>
      </c>
      <c r="G10" s="116">
        <f>D10-E10</f>
        <v>1539312.8</v>
      </c>
    </row>
    <row r="11" spans="1:7" s="65" customFormat="1">
      <c r="A11" s="114" t="s">
        <v>385</v>
      </c>
      <c r="B11" s="115">
        <v>1423942.24</v>
      </c>
      <c r="C11" s="115">
        <v>8203.0800000000745</v>
      </c>
      <c r="D11" s="115">
        <v>1432145.32</v>
      </c>
      <c r="E11" s="115">
        <v>389178.06</v>
      </c>
      <c r="F11" s="115">
        <v>387613.46</v>
      </c>
      <c r="G11" s="116">
        <f t="shared" ref="G11:G64" si="0">D11-E11</f>
        <v>1042967.26</v>
      </c>
    </row>
    <row r="12" spans="1:7" s="65" customFormat="1">
      <c r="A12" s="114" t="s">
        <v>386</v>
      </c>
      <c r="B12" s="115">
        <v>11267308.4</v>
      </c>
      <c r="C12" s="115">
        <v>72852</v>
      </c>
      <c r="D12" s="115">
        <v>11340160.4</v>
      </c>
      <c r="E12" s="115">
        <v>2274160.2599999998</v>
      </c>
      <c r="F12" s="115">
        <v>2174425.65</v>
      </c>
      <c r="G12" s="116">
        <f t="shared" si="0"/>
        <v>9066000.1400000006</v>
      </c>
    </row>
    <row r="13" spans="1:7" s="65" customFormat="1">
      <c r="A13" s="114" t="s">
        <v>387</v>
      </c>
      <c r="B13" s="115">
        <v>2932164</v>
      </c>
      <c r="C13" s="115">
        <v>0</v>
      </c>
      <c r="D13" s="115">
        <v>2932164</v>
      </c>
      <c r="E13" s="115">
        <v>1066388.06</v>
      </c>
      <c r="F13" s="115">
        <v>1060312.3</v>
      </c>
      <c r="G13" s="116">
        <f t="shared" si="0"/>
        <v>1865775.94</v>
      </c>
    </row>
    <row r="14" spans="1:7" s="65" customFormat="1">
      <c r="A14" s="114" t="s">
        <v>388</v>
      </c>
      <c r="B14" s="115">
        <v>7045196</v>
      </c>
      <c r="C14" s="115">
        <v>0</v>
      </c>
      <c r="D14" s="115">
        <v>7045196</v>
      </c>
      <c r="E14" s="115">
        <v>3070083.52</v>
      </c>
      <c r="F14" s="115">
        <v>2531234.54</v>
      </c>
      <c r="G14" s="116">
        <f t="shared" si="0"/>
        <v>3975112.48</v>
      </c>
    </row>
    <row r="15" spans="1:7" s="65" customFormat="1">
      <c r="A15" s="114" t="s">
        <v>389</v>
      </c>
      <c r="B15" s="115">
        <v>3900204</v>
      </c>
      <c r="C15" s="115">
        <v>0</v>
      </c>
      <c r="D15" s="115">
        <v>3900204</v>
      </c>
      <c r="E15" s="115">
        <v>202936.11</v>
      </c>
      <c r="F15" s="115">
        <v>144438</v>
      </c>
      <c r="G15" s="116">
        <f t="shared" si="0"/>
        <v>3697267.89</v>
      </c>
    </row>
    <row r="16" spans="1:7" s="65" customFormat="1">
      <c r="A16" s="114" t="s">
        <v>390</v>
      </c>
      <c r="B16" s="115">
        <v>1514189</v>
      </c>
      <c r="C16" s="115">
        <v>10000</v>
      </c>
      <c r="D16" s="115">
        <v>1524189</v>
      </c>
      <c r="E16" s="115">
        <v>281731.93</v>
      </c>
      <c r="F16" s="115">
        <v>274576.5</v>
      </c>
      <c r="G16" s="116">
        <f t="shared" si="0"/>
        <v>1242457.07</v>
      </c>
    </row>
    <row r="17" spans="1:7" s="65" customFormat="1">
      <c r="A17" s="114" t="s">
        <v>391</v>
      </c>
      <c r="B17" s="115">
        <v>3578176</v>
      </c>
      <c r="C17" s="115">
        <v>0</v>
      </c>
      <c r="D17" s="115">
        <v>3578176</v>
      </c>
      <c r="E17" s="115">
        <v>766311.48</v>
      </c>
      <c r="F17" s="115">
        <v>760390.1</v>
      </c>
      <c r="G17" s="116">
        <f t="shared" si="0"/>
        <v>2811864.52</v>
      </c>
    </row>
    <row r="18" spans="1:7" s="65" customFormat="1">
      <c r="A18" s="114" t="s">
        <v>392</v>
      </c>
      <c r="B18" s="115">
        <v>2244117</v>
      </c>
      <c r="C18" s="115">
        <v>0</v>
      </c>
      <c r="D18" s="115">
        <v>2244117</v>
      </c>
      <c r="E18" s="115">
        <v>332585.05</v>
      </c>
      <c r="F18" s="115">
        <v>332562.55</v>
      </c>
      <c r="G18" s="116">
        <f t="shared" si="0"/>
        <v>1911531.95</v>
      </c>
    </row>
    <row r="19" spans="1:7" s="65" customFormat="1">
      <c r="A19" s="114" t="s">
        <v>393</v>
      </c>
      <c r="B19" s="115">
        <v>104706</v>
      </c>
      <c r="C19" s="115">
        <v>0</v>
      </c>
      <c r="D19" s="115">
        <v>104706</v>
      </c>
      <c r="E19" s="115">
        <v>22715.21</v>
      </c>
      <c r="F19" s="115">
        <v>21491.599999999999</v>
      </c>
      <c r="G19" s="116">
        <f t="shared" si="0"/>
        <v>81990.790000000008</v>
      </c>
    </row>
    <row r="20" spans="1:7" s="65" customFormat="1">
      <c r="A20" s="114" t="s">
        <v>394</v>
      </c>
      <c r="B20" s="115">
        <v>434451</v>
      </c>
      <c r="C20" s="115">
        <v>0</v>
      </c>
      <c r="D20" s="115">
        <v>434451</v>
      </c>
      <c r="E20" s="115">
        <v>93965.6</v>
      </c>
      <c r="F20" s="115">
        <v>91460.01</v>
      </c>
      <c r="G20" s="116">
        <f t="shared" si="0"/>
        <v>340485.4</v>
      </c>
    </row>
    <row r="21" spans="1:7" s="65" customFormat="1">
      <c r="A21" s="114" t="s">
        <v>395</v>
      </c>
      <c r="B21" s="115">
        <v>435019</v>
      </c>
      <c r="C21" s="115">
        <v>0</v>
      </c>
      <c r="D21" s="115">
        <v>435019</v>
      </c>
      <c r="E21" s="115">
        <v>96973.97</v>
      </c>
      <c r="F21" s="115">
        <v>96973.97</v>
      </c>
      <c r="G21" s="116">
        <f t="shared" si="0"/>
        <v>338045.03</v>
      </c>
    </row>
    <row r="22" spans="1:7" s="65" customFormat="1">
      <c r="A22" s="114" t="s">
        <v>396</v>
      </c>
      <c r="B22" s="115">
        <v>251386</v>
      </c>
      <c r="C22" s="115">
        <v>0</v>
      </c>
      <c r="D22" s="115">
        <v>251386</v>
      </c>
      <c r="E22" s="115">
        <v>54334.65</v>
      </c>
      <c r="F22" s="115">
        <v>54153.69</v>
      </c>
      <c r="G22" s="116">
        <f t="shared" si="0"/>
        <v>197051.35</v>
      </c>
    </row>
    <row r="23" spans="1:7" s="65" customFormat="1">
      <c r="A23" s="114" t="s">
        <v>397</v>
      </c>
      <c r="B23" s="115">
        <v>36965425.409999996</v>
      </c>
      <c r="C23" s="115">
        <v>1498120.75</v>
      </c>
      <c r="D23" s="115">
        <v>38463546.159999996</v>
      </c>
      <c r="E23" s="115">
        <v>6114505.6399999997</v>
      </c>
      <c r="F23" s="115">
        <v>5890567.2300000004</v>
      </c>
      <c r="G23" s="116">
        <f t="shared" si="0"/>
        <v>32349040.519999996</v>
      </c>
    </row>
    <row r="24" spans="1:7" s="65" customFormat="1">
      <c r="A24" s="114" t="s">
        <v>398</v>
      </c>
      <c r="B24" s="115">
        <v>4182227.99</v>
      </c>
      <c r="C24" s="115">
        <v>0</v>
      </c>
      <c r="D24" s="115">
        <v>4182227.99</v>
      </c>
      <c r="E24" s="115">
        <v>848081.69</v>
      </c>
      <c r="F24" s="115">
        <v>838302.2</v>
      </c>
      <c r="G24" s="116">
        <f t="shared" si="0"/>
        <v>3334146.3000000003</v>
      </c>
    </row>
    <row r="25" spans="1:7" s="65" customFormat="1">
      <c r="A25" s="114" t="s">
        <v>399</v>
      </c>
      <c r="B25" s="115">
        <v>1257611</v>
      </c>
      <c r="C25" s="115">
        <v>0</v>
      </c>
      <c r="D25" s="115">
        <v>1257611</v>
      </c>
      <c r="E25" s="115">
        <v>272000.87</v>
      </c>
      <c r="F25" s="115">
        <v>267077.46999999997</v>
      </c>
      <c r="G25" s="116">
        <f t="shared" si="0"/>
        <v>985610.13</v>
      </c>
    </row>
    <row r="26" spans="1:7" s="65" customFormat="1">
      <c r="A26" s="114" t="s">
        <v>400</v>
      </c>
      <c r="B26" s="115">
        <v>614866</v>
      </c>
      <c r="C26" s="115">
        <v>0</v>
      </c>
      <c r="D26" s="115">
        <v>614866</v>
      </c>
      <c r="E26" s="115">
        <v>113443.53</v>
      </c>
      <c r="F26" s="115">
        <v>113443.53</v>
      </c>
      <c r="G26" s="116">
        <f t="shared" si="0"/>
        <v>501422.47</v>
      </c>
    </row>
    <row r="27" spans="1:7" s="65" customFormat="1">
      <c r="A27" s="114" t="s">
        <v>401</v>
      </c>
      <c r="B27" s="115">
        <v>1035571</v>
      </c>
      <c r="C27" s="115">
        <v>0</v>
      </c>
      <c r="D27" s="115">
        <v>1035571</v>
      </c>
      <c r="E27" s="115">
        <v>248460.89</v>
      </c>
      <c r="F27" s="115">
        <v>200571.4</v>
      </c>
      <c r="G27" s="116">
        <f t="shared" si="0"/>
        <v>787110.11</v>
      </c>
    </row>
    <row r="28" spans="1:7" s="65" customFormat="1">
      <c r="A28" s="114" t="s">
        <v>402</v>
      </c>
      <c r="B28" s="115">
        <v>856263</v>
      </c>
      <c r="C28" s="115">
        <v>0</v>
      </c>
      <c r="D28" s="115">
        <v>856263</v>
      </c>
      <c r="E28" s="115">
        <v>185210.62</v>
      </c>
      <c r="F28" s="115">
        <v>180523.86</v>
      </c>
      <c r="G28" s="116">
        <f t="shared" si="0"/>
        <v>671052.38</v>
      </c>
    </row>
    <row r="29" spans="1:7" s="65" customFormat="1">
      <c r="A29" s="114" t="s">
        <v>403</v>
      </c>
      <c r="B29" s="115">
        <v>674472</v>
      </c>
      <c r="C29" s="115">
        <v>0</v>
      </c>
      <c r="D29" s="115">
        <v>674472</v>
      </c>
      <c r="E29" s="115">
        <v>145002.09</v>
      </c>
      <c r="F29" s="115">
        <v>143679</v>
      </c>
      <c r="G29" s="116">
        <f t="shared" si="0"/>
        <v>529469.91</v>
      </c>
    </row>
    <row r="30" spans="1:7" s="65" customFormat="1">
      <c r="A30" s="114" t="s">
        <v>404</v>
      </c>
      <c r="B30" s="115">
        <v>632171</v>
      </c>
      <c r="C30" s="115">
        <v>18248</v>
      </c>
      <c r="D30" s="115">
        <v>650419</v>
      </c>
      <c r="E30" s="115">
        <v>137289</v>
      </c>
      <c r="F30" s="115">
        <v>134760</v>
      </c>
      <c r="G30" s="116">
        <f t="shared" si="0"/>
        <v>513130</v>
      </c>
    </row>
    <row r="31" spans="1:7" s="65" customFormat="1">
      <c r="A31" s="114" t="s">
        <v>405</v>
      </c>
      <c r="B31" s="115">
        <v>404864</v>
      </c>
      <c r="C31" s="115">
        <v>0</v>
      </c>
      <c r="D31" s="115">
        <v>404864</v>
      </c>
      <c r="E31" s="115">
        <v>87504</v>
      </c>
      <c r="F31" s="115">
        <v>87504</v>
      </c>
      <c r="G31" s="116">
        <f t="shared" si="0"/>
        <v>317360</v>
      </c>
    </row>
    <row r="32" spans="1:7" s="65" customFormat="1">
      <c r="A32" s="114" t="s">
        <v>406</v>
      </c>
      <c r="B32" s="115">
        <v>1282322</v>
      </c>
      <c r="C32" s="115">
        <v>0</v>
      </c>
      <c r="D32" s="115">
        <v>1282322</v>
      </c>
      <c r="E32" s="115">
        <v>226266.7</v>
      </c>
      <c r="F32" s="115">
        <v>226266.7</v>
      </c>
      <c r="G32" s="116">
        <f t="shared" si="0"/>
        <v>1056055.3</v>
      </c>
    </row>
    <row r="33" spans="1:7" s="65" customFormat="1">
      <c r="A33" s="114" t="s">
        <v>407</v>
      </c>
      <c r="B33" s="115">
        <v>635508</v>
      </c>
      <c r="C33" s="115">
        <v>0</v>
      </c>
      <c r="D33" s="115">
        <v>635508</v>
      </c>
      <c r="E33" s="115">
        <v>93093</v>
      </c>
      <c r="F33" s="115">
        <v>93093</v>
      </c>
      <c r="G33" s="116">
        <f t="shared" si="0"/>
        <v>542415</v>
      </c>
    </row>
    <row r="34" spans="1:7" s="65" customFormat="1">
      <c r="A34" s="114" t="s">
        <v>408</v>
      </c>
      <c r="B34" s="115">
        <v>35933943</v>
      </c>
      <c r="C34" s="115">
        <v>23674734.869999997</v>
      </c>
      <c r="D34" s="115">
        <v>59608677.869999997</v>
      </c>
      <c r="E34" s="115">
        <v>7598860.7300000004</v>
      </c>
      <c r="F34" s="115">
        <v>4946549.68</v>
      </c>
      <c r="G34" s="116">
        <f t="shared" si="0"/>
        <v>52009817.140000001</v>
      </c>
    </row>
    <row r="35" spans="1:7" s="65" customFormat="1">
      <c r="A35" s="114" t="s">
        <v>409</v>
      </c>
      <c r="B35" s="115">
        <v>5528661</v>
      </c>
      <c r="C35" s="115">
        <v>-107192</v>
      </c>
      <c r="D35" s="115">
        <v>5421469</v>
      </c>
      <c r="E35" s="115">
        <v>1176199.3400000001</v>
      </c>
      <c r="F35" s="115">
        <v>1172985.6499999999</v>
      </c>
      <c r="G35" s="116">
        <f t="shared" si="0"/>
        <v>4245269.66</v>
      </c>
    </row>
    <row r="36" spans="1:7" s="65" customFormat="1">
      <c r="A36" s="114" t="s">
        <v>410</v>
      </c>
      <c r="B36" s="115">
        <v>1849922</v>
      </c>
      <c r="C36" s="115">
        <v>0</v>
      </c>
      <c r="D36" s="115">
        <v>1849922</v>
      </c>
      <c r="E36" s="115">
        <v>394856.94</v>
      </c>
      <c r="F36" s="115">
        <v>393900.03</v>
      </c>
      <c r="G36" s="116">
        <f t="shared" si="0"/>
        <v>1455065.06</v>
      </c>
    </row>
    <row r="37" spans="1:7" s="65" customFormat="1">
      <c r="A37" s="114" t="s">
        <v>411</v>
      </c>
      <c r="B37" s="115">
        <v>1052507</v>
      </c>
      <c r="C37" s="115">
        <v>0</v>
      </c>
      <c r="D37" s="115">
        <v>1052507</v>
      </c>
      <c r="E37" s="115">
        <v>215963.19</v>
      </c>
      <c r="F37" s="115">
        <v>214038.19</v>
      </c>
      <c r="G37" s="116">
        <f t="shared" si="0"/>
        <v>836543.81</v>
      </c>
    </row>
    <row r="38" spans="1:7" s="65" customFormat="1">
      <c r="A38" s="114" t="s">
        <v>412</v>
      </c>
      <c r="B38" s="115">
        <v>7514788</v>
      </c>
      <c r="C38" s="115">
        <v>0</v>
      </c>
      <c r="D38" s="115">
        <v>7514788</v>
      </c>
      <c r="E38" s="115">
        <v>1582038.45</v>
      </c>
      <c r="F38" s="115">
        <v>1582038.45</v>
      </c>
      <c r="G38" s="116">
        <f t="shared" si="0"/>
        <v>5932749.5499999998</v>
      </c>
    </row>
    <row r="39" spans="1:7" s="65" customFormat="1">
      <c r="A39" s="114" t="s">
        <v>413</v>
      </c>
      <c r="B39" s="115">
        <v>3607430</v>
      </c>
      <c r="C39" s="115">
        <v>0</v>
      </c>
      <c r="D39" s="115">
        <v>3607430</v>
      </c>
      <c r="E39" s="115">
        <v>760144.91</v>
      </c>
      <c r="F39" s="115">
        <v>759269.35</v>
      </c>
      <c r="G39" s="116">
        <f t="shared" si="0"/>
        <v>2847285.09</v>
      </c>
    </row>
    <row r="40" spans="1:7" s="65" customFormat="1">
      <c r="A40" s="114" t="s">
        <v>414</v>
      </c>
      <c r="B40" s="115">
        <v>3243931</v>
      </c>
      <c r="C40" s="115">
        <v>0</v>
      </c>
      <c r="D40" s="115">
        <v>3243931</v>
      </c>
      <c r="E40" s="115">
        <v>648219.52</v>
      </c>
      <c r="F40" s="115">
        <v>639826.80000000005</v>
      </c>
      <c r="G40" s="116">
        <f t="shared" si="0"/>
        <v>2595711.48</v>
      </c>
    </row>
    <row r="41" spans="1:7" s="65" customFormat="1">
      <c r="A41" s="114" t="s">
        <v>415</v>
      </c>
      <c r="B41" s="115">
        <v>2403107.4</v>
      </c>
      <c r="C41" s="115">
        <v>0</v>
      </c>
      <c r="D41" s="115">
        <v>2403107.4</v>
      </c>
      <c r="E41" s="115">
        <v>514738.29</v>
      </c>
      <c r="F41" s="115">
        <v>488497</v>
      </c>
      <c r="G41" s="116">
        <f t="shared" si="0"/>
        <v>1888369.1099999999</v>
      </c>
    </row>
    <row r="42" spans="1:7" s="65" customFormat="1">
      <c r="A42" s="114" t="s">
        <v>416</v>
      </c>
      <c r="B42" s="115">
        <v>1762898</v>
      </c>
      <c r="C42" s="115">
        <v>0</v>
      </c>
      <c r="D42" s="115">
        <v>1762898</v>
      </c>
      <c r="E42" s="115">
        <v>351067.04</v>
      </c>
      <c r="F42" s="115">
        <v>338419.58</v>
      </c>
      <c r="G42" s="116">
        <f t="shared" si="0"/>
        <v>1411830.96</v>
      </c>
    </row>
    <row r="43" spans="1:7" s="65" customFormat="1">
      <c r="A43" s="114" t="s">
        <v>417</v>
      </c>
      <c r="B43" s="115">
        <v>11042197.77</v>
      </c>
      <c r="C43" s="115">
        <v>6351345</v>
      </c>
      <c r="D43" s="115">
        <v>17393542.77</v>
      </c>
      <c r="E43" s="115">
        <v>917420.66</v>
      </c>
      <c r="F43" s="115">
        <v>904767.6</v>
      </c>
      <c r="G43" s="116">
        <f t="shared" si="0"/>
        <v>16476122.109999999</v>
      </c>
    </row>
    <row r="44" spans="1:7" s="65" customFormat="1">
      <c r="A44" s="114" t="s">
        <v>418</v>
      </c>
      <c r="B44" s="115">
        <v>2956925</v>
      </c>
      <c r="C44" s="115">
        <v>0</v>
      </c>
      <c r="D44" s="115">
        <v>2956925</v>
      </c>
      <c r="E44" s="115">
        <v>2335776.09</v>
      </c>
      <c r="F44" s="115">
        <v>2331954.9900000002</v>
      </c>
      <c r="G44" s="116">
        <f t="shared" si="0"/>
        <v>621148.91000000015</v>
      </c>
    </row>
    <row r="45" spans="1:7" s="65" customFormat="1">
      <c r="A45" s="114" t="s">
        <v>419</v>
      </c>
      <c r="B45" s="115">
        <v>357117</v>
      </c>
      <c r="C45" s="115">
        <v>0</v>
      </c>
      <c r="D45" s="115">
        <v>357117</v>
      </c>
      <c r="E45" s="115">
        <v>65088.6</v>
      </c>
      <c r="F45" s="115">
        <v>62811</v>
      </c>
      <c r="G45" s="116">
        <f t="shared" si="0"/>
        <v>292028.40000000002</v>
      </c>
    </row>
    <row r="46" spans="1:7" s="65" customFormat="1">
      <c r="A46" s="114" t="s">
        <v>420</v>
      </c>
      <c r="B46" s="115">
        <v>978194</v>
      </c>
      <c r="C46" s="115">
        <v>0</v>
      </c>
      <c r="D46" s="115">
        <v>978194</v>
      </c>
      <c r="E46" s="115">
        <v>345511.84</v>
      </c>
      <c r="F46" s="115">
        <v>335233.55</v>
      </c>
      <c r="G46" s="116">
        <f t="shared" si="0"/>
        <v>632682.15999999992</v>
      </c>
    </row>
    <row r="47" spans="1:7" s="65" customFormat="1">
      <c r="A47" s="114" t="s">
        <v>421</v>
      </c>
      <c r="B47" s="115">
        <v>702497</v>
      </c>
      <c r="C47" s="115">
        <v>0</v>
      </c>
      <c r="D47" s="115">
        <v>702497</v>
      </c>
      <c r="E47" s="115">
        <v>157695.04000000001</v>
      </c>
      <c r="F47" s="115">
        <v>140571.99</v>
      </c>
      <c r="G47" s="116">
        <f t="shared" si="0"/>
        <v>544801.96</v>
      </c>
    </row>
    <row r="48" spans="1:7" s="65" customFormat="1">
      <c r="A48" s="114" t="s">
        <v>422</v>
      </c>
      <c r="B48" s="115">
        <v>1013197</v>
      </c>
      <c r="C48" s="115">
        <v>0</v>
      </c>
      <c r="D48" s="115">
        <v>1013197</v>
      </c>
      <c r="E48" s="115">
        <v>176667.76</v>
      </c>
      <c r="F48" s="115">
        <v>168963.1</v>
      </c>
      <c r="G48" s="116">
        <f t="shared" si="0"/>
        <v>836529.24</v>
      </c>
    </row>
    <row r="49" spans="1:7" s="65" customFormat="1">
      <c r="A49" s="114" t="s">
        <v>423</v>
      </c>
      <c r="B49" s="115">
        <v>252927</v>
      </c>
      <c r="C49" s="115">
        <v>0</v>
      </c>
      <c r="D49" s="115">
        <v>252927</v>
      </c>
      <c r="E49" s="115">
        <v>35808</v>
      </c>
      <c r="F49" s="115">
        <v>35808</v>
      </c>
      <c r="G49" s="116">
        <f t="shared" si="0"/>
        <v>217119</v>
      </c>
    </row>
    <row r="50" spans="1:7" s="65" customFormat="1">
      <c r="A50" s="114" t="s">
        <v>424</v>
      </c>
      <c r="B50" s="115">
        <v>2519896</v>
      </c>
      <c r="C50" s="115">
        <v>0</v>
      </c>
      <c r="D50" s="115">
        <v>2519896</v>
      </c>
      <c r="E50" s="115">
        <v>458995.33</v>
      </c>
      <c r="F50" s="115">
        <v>438789.46</v>
      </c>
      <c r="G50" s="116">
        <f t="shared" si="0"/>
        <v>2060900.67</v>
      </c>
    </row>
    <row r="51" spans="1:7" s="65" customFormat="1">
      <c r="A51" s="114" t="s">
        <v>425</v>
      </c>
      <c r="B51" s="115">
        <v>3381951</v>
      </c>
      <c r="C51" s="115">
        <v>49230</v>
      </c>
      <c r="D51" s="115">
        <v>3431181</v>
      </c>
      <c r="E51" s="115">
        <v>2141801.88</v>
      </c>
      <c r="F51" s="115">
        <v>2106017.6800000002</v>
      </c>
      <c r="G51" s="116">
        <f t="shared" si="0"/>
        <v>1289379.1200000001</v>
      </c>
    </row>
    <row r="52" spans="1:7" s="65" customFormat="1">
      <c r="A52" s="114" t="s">
        <v>426</v>
      </c>
      <c r="B52" s="115">
        <v>506590</v>
      </c>
      <c r="C52" s="115">
        <v>0</v>
      </c>
      <c r="D52" s="115">
        <v>506590</v>
      </c>
      <c r="E52" s="115">
        <v>100620</v>
      </c>
      <c r="F52" s="115">
        <v>100620</v>
      </c>
      <c r="G52" s="116">
        <f t="shared" si="0"/>
        <v>405970</v>
      </c>
    </row>
    <row r="53" spans="1:7" s="65" customFormat="1">
      <c r="A53" s="114" t="s">
        <v>427</v>
      </c>
      <c r="B53" s="115">
        <v>246816</v>
      </c>
      <c r="C53" s="115">
        <v>0</v>
      </c>
      <c r="D53" s="115">
        <v>246816</v>
      </c>
      <c r="E53" s="115">
        <v>40318</v>
      </c>
      <c r="F53" s="115">
        <v>40318</v>
      </c>
      <c r="G53" s="116">
        <f t="shared" si="0"/>
        <v>206498</v>
      </c>
    </row>
    <row r="54" spans="1:7" s="65" customFormat="1">
      <c r="A54" s="114" t="s">
        <v>428</v>
      </c>
      <c r="B54" s="115">
        <v>11362325</v>
      </c>
      <c r="C54" s="115">
        <v>444843</v>
      </c>
      <c r="D54" s="115">
        <v>11807168</v>
      </c>
      <c r="E54" s="115">
        <v>1561415.8</v>
      </c>
      <c r="F54" s="115">
        <v>1427563.67</v>
      </c>
      <c r="G54" s="116">
        <f t="shared" si="0"/>
        <v>10245752.199999999</v>
      </c>
    </row>
    <row r="55" spans="1:7" s="65" customFormat="1">
      <c r="A55" s="114" t="s">
        <v>429</v>
      </c>
      <c r="B55" s="115">
        <v>1143526</v>
      </c>
      <c r="C55" s="115">
        <v>0</v>
      </c>
      <c r="D55" s="115">
        <v>1143526</v>
      </c>
      <c r="E55" s="115">
        <v>246021.77</v>
      </c>
      <c r="F55" s="115">
        <v>232597.89</v>
      </c>
      <c r="G55" s="116">
        <f t="shared" si="0"/>
        <v>897504.23</v>
      </c>
    </row>
    <row r="56" spans="1:7" s="65" customFormat="1">
      <c r="A56" s="114" t="s">
        <v>430</v>
      </c>
      <c r="B56" s="115">
        <v>18058985</v>
      </c>
      <c r="C56" s="115">
        <v>0</v>
      </c>
      <c r="D56" s="115">
        <v>18058985</v>
      </c>
      <c r="E56" s="115">
        <v>1926861.33</v>
      </c>
      <c r="F56" s="115">
        <v>1867330.81</v>
      </c>
      <c r="G56" s="116">
        <f t="shared" si="0"/>
        <v>16132123.67</v>
      </c>
    </row>
    <row r="57" spans="1:7">
      <c r="A57" s="114" t="s">
        <v>431</v>
      </c>
      <c r="B57" s="115">
        <v>1315776</v>
      </c>
      <c r="C57" s="115">
        <v>50000</v>
      </c>
      <c r="D57" s="115">
        <v>1365776</v>
      </c>
      <c r="E57" s="115">
        <v>246445.43</v>
      </c>
      <c r="F57" s="115">
        <v>238979.01</v>
      </c>
      <c r="G57" s="116">
        <f t="shared" si="0"/>
        <v>1119330.57</v>
      </c>
    </row>
    <row r="58" spans="1:7" s="65" customFormat="1">
      <c r="A58" s="114" t="s">
        <v>432</v>
      </c>
      <c r="B58" s="115">
        <v>2556836</v>
      </c>
      <c r="C58" s="115">
        <v>40000</v>
      </c>
      <c r="D58" s="115">
        <v>2596836</v>
      </c>
      <c r="E58" s="115">
        <v>543890.54</v>
      </c>
      <c r="F58" s="115">
        <v>528288.87</v>
      </c>
      <c r="G58" s="116">
        <f t="shared" si="0"/>
        <v>2052945.46</v>
      </c>
    </row>
    <row r="59" spans="1:7" s="65" customFormat="1">
      <c r="A59" s="114" t="s">
        <v>433</v>
      </c>
      <c r="B59" s="115">
        <v>642444</v>
      </c>
      <c r="C59" s="115">
        <v>0</v>
      </c>
      <c r="D59" s="115">
        <v>642444</v>
      </c>
      <c r="E59" s="115">
        <v>136978.48000000001</v>
      </c>
      <c r="F59" s="115">
        <v>135319.67999999999</v>
      </c>
      <c r="G59" s="116">
        <f t="shared" si="0"/>
        <v>505465.52</v>
      </c>
    </row>
    <row r="60" spans="1:7" s="65" customFormat="1">
      <c r="A60" s="114" t="s">
        <v>434</v>
      </c>
      <c r="B60" s="115">
        <v>98051</v>
      </c>
      <c r="C60" s="115">
        <v>178880</v>
      </c>
      <c r="D60" s="115">
        <v>276931</v>
      </c>
      <c r="E60" s="115">
        <v>34113</v>
      </c>
      <c r="F60" s="115">
        <v>34113</v>
      </c>
      <c r="G60" s="116">
        <f t="shared" si="0"/>
        <v>242818</v>
      </c>
    </row>
    <row r="61" spans="1:7" s="65" customFormat="1">
      <c r="A61" s="114" t="s">
        <v>435</v>
      </c>
      <c r="B61" s="115">
        <v>621311</v>
      </c>
      <c r="C61" s="115">
        <v>0</v>
      </c>
      <c r="D61" s="115">
        <v>621311</v>
      </c>
      <c r="E61" s="115">
        <v>92532.79</v>
      </c>
      <c r="F61" s="115">
        <v>92532.79</v>
      </c>
      <c r="G61" s="116">
        <f t="shared" si="0"/>
        <v>528778.21</v>
      </c>
    </row>
    <row r="62" spans="1:7" s="65" customFormat="1">
      <c r="A62" s="114" t="s">
        <v>436</v>
      </c>
      <c r="B62" s="115">
        <v>1300831</v>
      </c>
      <c r="C62" s="115">
        <v>0</v>
      </c>
      <c r="D62" s="115">
        <v>1300831</v>
      </c>
      <c r="E62" s="115">
        <v>281223.90999999997</v>
      </c>
      <c r="F62" s="115">
        <v>278322</v>
      </c>
      <c r="G62" s="116">
        <f t="shared" si="0"/>
        <v>1019607.0900000001</v>
      </c>
    </row>
    <row r="63" spans="1:7" s="65" customFormat="1">
      <c r="A63" s="114" t="s">
        <v>437</v>
      </c>
      <c r="B63" s="115">
        <v>95000</v>
      </c>
      <c r="C63" s="115">
        <v>0</v>
      </c>
      <c r="D63" s="115">
        <v>95000</v>
      </c>
      <c r="E63" s="115">
        <v>11925</v>
      </c>
      <c r="F63" s="115">
        <v>1125.2</v>
      </c>
      <c r="G63" s="116">
        <f t="shared" si="0"/>
        <v>83075</v>
      </c>
    </row>
    <row r="64" spans="1:7" s="65" customFormat="1">
      <c r="A64" s="114" t="s">
        <v>438</v>
      </c>
      <c r="B64" s="115">
        <v>488734</v>
      </c>
      <c r="C64" s="115">
        <v>0</v>
      </c>
      <c r="D64" s="115">
        <v>488734</v>
      </c>
      <c r="E64" s="115">
        <v>131444.13</v>
      </c>
      <c r="F64" s="115">
        <v>110085.13</v>
      </c>
      <c r="G64" s="116">
        <f t="shared" si="0"/>
        <v>357289.87</v>
      </c>
    </row>
    <row r="65" spans="1:7" s="65" customFormat="1">
      <c r="A65" s="114"/>
      <c r="B65" s="115"/>
      <c r="C65" s="115"/>
      <c r="D65" s="115"/>
      <c r="E65" s="115"/>
      <c r="F65" s="115"/>
      <c r="G65" s="116"/>
    </row>
    <row r="66" spans="1:7" s="65" customFormat="1">
      <c r="A66" s="42" t="s">
        <v>383</v>
      </c>
      <c r="B66" s="43">
        <f>SUM(B67:B83:GASTO_E_FIN_01)</f>
        <v>242751517.66000003</v>
      </c>
      <c r="C66" s="43">
        <f>SUM(C67:C83)</f>
        <v>152771973.25</v>
      </c>
      <c r="D66" s="43">
        <f>SUM(D67:D83)</f>
        <v>395523490.90999997</v>
      </c>
      <c r="E66" s="43">
        <f>SUM(E67:E83)</f>
        <v>97069849.340000018</v>
      </c>
      <c r="F66" s="43">
        <f>SUM(F67:F83)</f>
        <v>76678686.670000002</v>
      </c>
      <c r="G66" s="43">
        <f>SUM(G67:G83)</f>
        <v>298453641.57000005</v>
      </c>
    </row>
    <row r="67" spans="1:7" s="65" customFormat="1">
      <c r="A67" s="114" t="s">
        <v>388</v>
      </c>
      <c r="B67" s="115">
        <v>5000000</v>
      </c>
      <c r="C67" s="115">
        <v>0</v>
      </c>
      <c r="D67" s="115">
        <v>5000000</v>
      </c>
      <c r="E67" s="115">
        <v>0</v>
      </c>
      <c r="F67" s="115">
        <v>0</v>
      </c>
      <c r="G67" s="116">
        <f>D67-E67</f>
        <v>5000000</v>
      </c>
    </row>
    <row r="68" spans="1:7" s="65" customFormat="1">
      <c r="A68" s="114" t="s">
        <v>397</v>
      </c>
      <c r="B68" s="115">
        <v>16069442.619999999</v>
      </c>
      <c r="C68" s="115">
        <v>-705610.25</v>
      </c>
      <c r="D68" s="115">
        <v>15363832.369999999</v>
      </c>
      <c r="E68" s="115">
        <v>2601977.65</v>
      </c>
      <c r="F68" s="115">
        <v>2551062.63</v>
      </c>
      <c r="G68" s="116">
        <f t="shared" ref="G68:G83" si="1">D68-E68</f>
        <v>12761854.719999999</v>
      </c>
    </row>
    <row r="69" spans="1:7" s="65" customFormat="1">
      <c r="A69" s="114" t="s">
        <v>408</v>
      </c>
      <c r="B69" s="115">
        <v>138140022.65000001</v>
      </c>
      <c r="C69" s="115">
        <v>125597721.5</v>
      </c>
      <c r="D69" s="115">
        <v>263737744.15000001</v>
      </c>
      <c r="E69" s="115">
        <v>80600305.270000011</v>
      </c>
      <c r="F69" s="115">
        <v>62157883.359999999</v>
      </c>
      <c r="G69" s="116">
        <f t="shared" si="1"/>
        <v>183137438.88</v>
      </c>
    </row>
    <row r="70" spans="1:7" s="65" customFormat="1">
      <c r="A70" s="114" t="s">
        <v>439</v>
      </c>
      <c r="B70" s="115">
        <v>7222123</v>
      </c>
      <c r="C70" s="115">
        <v>50000</v>
      </c>
      <c r="D70" s="115">
        <v>7272123</v>
      </c>
      <c r="E70" s="115">
        <v>1087670.56</v>
      </c>
      <c r="F70" s="115">
        <v>605518.93000000005</v>
      </c>
      <c r="G70" s="116">
        <f t="shared" si="1"/>
        <v>6184452.4399999995</v>
      </c>
    </row>
    <row r="71" spans="1:7" s="65" customFormat="1">
      <c r="A71" s="114" t="s">
        <v>417</v>
      </c>
      <c r="B71" s="115">
        <v>10786368.960000001</v>
      </c>
      <c r="C71" s="115">
        <v>16438080</v>
      </c>
      <c r="D71" s="115">
        <v>27224448.960000001</v>
      </c>
      <c r="E71" s="115">
        <v>0</v>
      </c>
      <c r="F71" s="115">
        <v>0</v>
      </c>
      <c r="G71" s="116">
        <f t="shared" si="1"/>
        <v>27224448.960000001</v>
      </c>
    </row>
    <row r="72" spans="1:7" s="65" customFormat="1">
      <c r="A72" s="114" t="s">
        <v>421</v>
      </c>
      <c r="B72" s="115">
        <v>200000</v>
      </c>
      <c r="C72" s="115">
        <v>0</v>
      </c>
      <c r="D72" s="115">
        <v>200000</v>
      </c>
      <c r="E72" s="115">
        <v>0</v>
      </c>
      <c r="F72" s="115">
        <v>0</v>
      </c>
      <c r="G72" s="116">
        <f t="shared" si="1"/>
        <v>200000</v>
      </c>
    </row>
    <row r="73" spans="1:7" s="65" customFormat="1">
      <c r="A73" s="114" t="s">
        <v>440</v>
      </c>
      <c r="B73" s="115">
        <v>0</v>
      </c>
      <c r="C73" s="115">
        <v>0</v>
      </c>
      <c r="D73" s="115">
        <v>0</v>
      </c>
      <c r="E73" s="115">
        <v>0</v>
      </c>
      <c r="F73" s="115">
        <v>0</v>
      </c>
      <c r="G73" s="116">
        <f>D73-E73</f>
        <v>0</v>
      </c>
    </row>
    <row r="74" spans="1:7" s="65" customFormat="1">
      <c r="A74" s="114" t="s">
        <v>424</v>
      </c>
      <c r="B74" s="115">
        <v>25000</v>
      </c>
      <c r="C74" s="115">
        <v>0</v>
      </c>
      <c r="D74" s="115">
        <v>25000</v>
      </c>
      <c r="E74" s="115">
        <v>0</v>
      </c>
      <c r="F74" s="115">
        <v>0</v>
      </c>
      <c r="G74" s="116">
        <f t="shared" si="1"/>
        <v>25000</v>
      </c>
    </row>
    <row r="75" spans="1:7" s="65" customFormat="1">
      <c r="A75" s="114" t="s">
        <v>428</v>
      </c>
      <c r="B75" s="115">
        <v>12022928.310000001</v>
      </c>
      <c r="C75" s="115">
        <v>350000</v>
      </c>
      <c r="D75" s="115">
        <v>12372928.310000001</v>
      </c>
      <c r="E75" s="115">
        <v>3002331.48</v>
      </c>
      <c r="F75" s="115">
        <v>2153867.9300000002</v>
      </c>
      <c r="G75" s="116">
        <f t="shared" si="1"/>
        <v>9370596.8300000001</v>
      </c>
    </row>
    <row r="76" spans="1:7" s="65" customFormat="1">
      <c r="A76" s="114" t="s">
        <v>431</v>
      </c>
      <c r="B76" s="115">
        <v>0</v>
      </c>
      <c r="C76" s="115">
        <v>434782</v>
      </c>
      <c r="D76" s="115">
        <v>434782</v>
      </c>
      <c r="E76" s="115">
        <v>0</v>
      </c>
      <c r="F76" s="115">
        <v>0</v>
      </c>
      <c r="G76" s="116">
        <f t="shared" si="1"/>
        <v>434782</v>
      </c>
    </row>
    <row r="77" spans="1:7" s="65" customFormat="1">
      <c r="A77" s="114" t="s">
        <v>435</v>
      </c>
      <c r="B77" s="115">
        <v>150000</v>
      </c>
      <c r="C77" s="115">
        <v>0</v>
      </c>
      <c r="D77" s="115">
        <v>150000</v>
      </c>
      <c r="E77" s="115">
        <v>0</v>
      </c>
      <c r="F77" s="115">
        <v>0</v>
      </c>
      <c r="G77" s="116">
        <f t="shared" si="1"/>
        <v>150000</v>
      </c>
    </row>
    <row r="78" spans="1:7" s="65" customFormat="1">
      <c r="A78" s="114" t="s">
        <v>438</v>
      </c>
      <c r="B78" s="115">
        <v>550000</v>
      </c>
      <c r="C78" s="115">
        <v>600000</v>
      </c>
      <c r="D78" s="115">
        <v>1150000</v>
      </c>
      <c r="E78" s="115">
        <v>596941.80000000005</v>
      </c>
      <c r="F78" s="115">
        <v>596941.80000000005</v>
      </c>
      <c r="G78" s="116">
        <f t="shared" si="1"/>
        <v>553058.19999999995</v>
      </c>
    </row>
    <row r="79" spans="1:7" s="65" customFormat="1">
      <c r="A79" s="114" t="s">
        <v>441</v>
      </c>
      <c r="B79" s="115">
        <v>41577757.119999997</v>
      </c>
      <c r="C79" s="115">
        <v>10000000</v>
      </c>
      <c r="D79" s="115">
        <v>51577757.119999997</v>
      </c>
      <c r="E79" s="115">
        <v>7043816.1399999997</v>
      </c>
      <c r="F79" s="115">
        <v>6621437.6100000003</v>
      </c>
      <c r="G79" s="116">
        <f t="shared" si="1"/>
        <v>44533940.979999997</v>
      </c>
    </row>
    <row r="80" spans="1:7" s="65" customFormat="1">
      <c r="A80" s="114" t="s">
        <v>442</v>
      </c>
      <c r="B80" s="115">
        <v>2058927</v>
      </c>
      <c r="C80" s="115">
        <v>0</v>
      </c>
      <c r="D80" s="115">
        <v>2058927</v>
      </c>
      <c r="E80" s="115">
        <v>245268.88</v>
      </c>
      <c r="F80" s="115">
        <v>238426</v>
      </c>
      <c r="G80" s="116">
        <f t="shared" si="1"/>
        <v>1813658.12</v>
      </c>
    </row>
    <row r="81" spans="1:7" s="65" customFormat="1">
      <c r="A81" s="114" t="s">
        <v>443</v>
      </c>
      <c r="B81" s="115">
        <v>7439764</v>
      </c>
      <c r="C81" s="115">
        <v>3000</v>
      </c>
      <c r="D81" s="115">
        <v>7442764</v>
      </c>
      <c r="E81" s="115">
        <v>1512164.28</v>
      </c>
      <c r="F81" s="115">
        <v>1481115.52</v>
      </c>
      <c r="G81" s="116">
        <f t="shared" si="1"/>
        <v>5930599.7199999997</v>
      </c>
    </row>
    <row r="82" spans="1:7" s="65" customFormat="1">
      <c r="A82" s="114" t="s">
        <v>444</v>
      </c>
      <c r="B82" s="115">
        <v>394266</v>
      </c>
      <c r="C82" s="115">
        <v>4000</v>
      </c>
      <c r="D82" s="115">
        <v>398266</v>
      </c>
      <c r="E82" s="115">
        <v>130158.38</v>
      </c>
      <c r="F82" s="115">
        <v>61500</v>
      </c>
      <c r="G82" s="116">
        <f t="shared" si="1"/>
        <v>268107.62</v>
      </c>
    </row>
    <row r="83" spans="1:7" s="65" customFormat="1">
      <c r="A83" s="114" t="s">
        <v>445</v>
      </c>
      <c r="B83" s="115">
        <v>1114918</v>
      </c>
      <c r="C83" s="115">
        <v>0</v>
      </c>
      <c r="D83" s="115">
        <v>1114918</v>
      </c>
      <c r="E83" s="115">
        <v>249214.9</v>
      </c>
      <c r="F83" s="115">
        <v>210932.89</v>
      </c>
      <c r="G83" s="116">
        <f t="shared" si="1"/>
        <v>865703.1</v>
      </c>
    </row>
    <row r="84" spans="1:7" s="65" customFormat="1">
      <c r="A84" s="114"/>
      <c r="B84" s="115"/>
      <c r="C84" s="115"/>
      <c r="D84" s="115"/>
      <c r="E84" s="115"/>
      <c r="F84" s="115"/>
      <c r="G84" s="116"/>
    </row>
    <row r="85" spans="1:7">
      <c r="A85" s="66" t="s">
        <v>232</v>
      </c>
      <c r="B85" s="30"/>
      <c r="C85" s="30"/>
      <c r="D85" s="30"/>
      <c r="E85" s="30"/>
      <c r="F85" s="30"/>
      <c r="G85" s="30"/>
    </row>
    <row r="86" spans="1:7">
      <c r="A86" s="42" t="s">
        <v>87</v>
      </c>
      <c r="B86" s="43">
        <f>B66+GASTO_NE_T1</f>
        <v>452871523.95000005</v>
      </c>
      <c r="C86" s="43">
        <f>C66+GASTO_NE_T2</f>
        <v>185076716.15000001</v>
      </c>
      <c r="D86" s="43">
        <f>D66+GASTO_NE_T3</f>
        <v>637948240.0999999</v>
      </c>
      <c r="E86" s="43">
        <f>E66+GASTO_NE_T4</f>
        <v>139807412.54000002</v>
      </c>
      <c r="F86" s="43">
        <f>F66+GASTO_NE_T5</f>
        <v>115316443.06</v>
      </c>
      <c r="G86" s="43">
        <f>G66+GASTO_NE_T6</f>
        <v>498140827.56000006</v>
      </c>
    </row>
    <row r="87" spans="1:7">
      <c r="A87" s="79"/>
      <c r="B87" s="17"/>
      <c r="C87" s="17"/>
      <c r="D87" s="17"/>
      <c r="E87" s="17"/>
      <c r="F87" s="17"/>
      <c r="G87" s="112"/>
    </row>
    <row r="88" spans="1:7" hidden="1">
      <c r="A88" s="113"/>
    </row>
    <row r="89" spans="1:7"/>
    <row r="90" spans="1:7"/>
    <row r="91" spans="1:7"/>
    <row r="92" spans="1:7"/>
    <row r="93" spans="1:7"/>
    <row r="94" spans="1:7"/>
    <row r="95" spans="1:7"/>
    <row r="96" spans="1:7"/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86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78"/>
  <sheetViews>
    <sheetView workbookViewId="0">
      <selection activeCell="A5" sqref="A5:G5"/>
    </sheetView>
  </sheetViews>
  <sheetFormatPr baseColWidth="10" defaultColWidth="0" defaultRowHeight="15" zeroHeight="1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>
      <c r="A1" s="205" t="s">
        <v>446</v>
      </c>
      <c r="B1" s="206"/>
      <c r="C1" s="206"/>
      <c r="D1" s="206"/>
      <c r="E1" s="206"/>
      <c r="F1" s="206"/>
      <c r="G1" s="206"/>
    </row>
    <row r="2" spans="1:7">
      <c r="A2" s="179" t="s">
        <v>629</v>
      </c>
      <c r="B2" s="180"/>
      <c r="C2" s="180"/>
      <c r="D2" s="180"/>
      <c r="E2" s="180"/>
      <c r="F2" s="180"/>
      <c r="G2" s="181"/>
    </row>
    <row r="3" spans="1:7">
      <c r="A3" s="182" t="s">
        <v>447</v>
      </c>
      <c r="B3" s="183"/>
      <c r="C3" s="183"/>
      <c r="D3" s="183"/>
      <c r="E3" s="183"/>
      <c r="F3" s="183"/>
      <c r="G3" s="184"/>
    </row>
    <row r="4" spans="1:7">
      <c r="A4" s="182" t="s">
        <v>448</v>
      </c>
      <c r="B4" s="183"/>
      <c r="C4" s="183"/>
      <c r="D4" s="183"/>
      <c r="E4" s="183"/>
      <c r="F4" s="183"/>
      <c r="G4" s="184"/>
    </row>
    <row r="5" spans="1:7">
      <c r="A5" s="185" t="s">
        <v>627</v>
      </c>
      <c r="B5" s="186"/>
      <c r="C5" s="186"/>
      <c r="D5" s="186"/>
      <c r="E5" s="186"/>
      <c r="F5" s="186"/>
      <c r="G5" s="187"/>
    </row>
    <row r="6" spans="1:7">
      <c r="A6" s="188" t="s">
        <v>3</v>
      </c>
      <c r="B6" s="189"/>
      <c r="C6" s="189"/>
      <c r="D6" s="189"/>
      <c r="E6" s="189"/>
      <c r="F6" s="189"/>
      <c r="G6" s="190"/>
    </row>
    <row r="7" spans="1:7">
      <c r="A7" s="183" t="s">
        <v>4</v>
      </c>
      <c r="B7" s="188" t="s">
        <v>5</v>
      </c>
      <c r="C7" s="189"/>
      <c r="D7" s="189"/>
      <c r="E7" s="189"/>
      <c r="F7" s="190"/>
      <c r="G7" s="204" t="s">
        <v>449</v>
      </c>
    </row>
    <row r="8" spans="1:7" ht="30.75" customHeight="1">
      <c r="A8" s="183"/>
      <c r="B8" s="99" t="s">
        <v>7</v>
      </c>
      <c r="C8" s="1" t="s">
        <v>450</v>
      </c>
      <c r="D8" s="99" t="s">
        <v>9</v>
      </c>
      <c r="E8" s="99" t="s">
        <v>10</v>
      </c>
      <c r="F8" s="121" t="s">
        <v>288</v>
      </c>
      <c r="G8" s="197"/>
    </row>
    <row r="9" spans="1:7">
      <c r="A9" s="100" t="s">
        <v>451</v>
      </c>
      <c r="B9" s="122">
        <f t="shared" ref="B9:G9" si="0">SUM(B10,B19,B27,B37)</f>
        <v>210120006.29000002</v>
      </c>
      <c r="C9" s="122">
        <f t="shared" si="0"/>
        <v>32304742.900000002</v>
      </c>
      <c r="D9" s="122">
        <f t="shared" si="0"/>
        <v>242424749.19</v>
      </c>
      <c r="E9" s="122">
        <f t="shared" si="0"/>
        <v>42737563.200000003</v>
      </c>
      <c r="F9" s="122">
        <f t="shared" si="0"/>
        <v>38637756.390000001</v>
      </c>
      <c r="G9" s="122">
        <f t="shared" si="0"/>
        <v>199687185.99000004</v>
      </c>
    </row>
    <row r="10" spans="1:7">
      <c r="A10" s="82" t="s">
        <v>452</v>
      </c>
      <c r="B10" s="123">
        <f t="shared" ref="B10:G10" si="1">SUM(B11:B18)</f>
        <v>110409839.12</v>
      </c>
      <c r="C10" s="123">
        <f t="shared" si="1"/>
        <v>1460553.03</v>
      </c>
      <c r="D10" s="123">
        <f t="shared" si="1"/>
        <v>111870392.15000001</v>
      </c>
      <c r="E10" s="123">
        <f t="shared" si="1"/>
        <v>18955135.510000002</v>
      </c>
      <c r="F10" s="123">
        <f t="shared" si="1"/>
        <v>18203027.219999999</v>
      </c>
      <c r="G10" s="123">
        <f t="shared" si="1"/>
        <v>92915256.640000015</v>
      </c>
    </row>
    <row r="11" spans="1:7">
      <c r="A11" s="103" t="s">
        <v>453</v>
      </c>
      <c r="B11" s="37">
        <v>13997893.640000001</v>
      </c>
      <c r="C11" s="37">
        <v>99303.08</v>
      </c>
      <c r="D11" s="37">
        <v>14097196.720000001</v>
      </c>
      <c r="E11" s="37">
        <v>2945629.41</v>
      </c>
      <c r="F11" s="37">
        <v>2840478.11</v>
      </c>
      <c r="G11" s="37">
        <v>11151567.310000001</v>
      </c>
    </row>
    <row r="12" spans="1:7">
      <c r="A12" s="103" t="s">
        <v>454</v>
      </c>
      <c r="B12" s="37">
        <v>435019</v>
      </c>
      <c r="C12" s="37">
        <v>0</v>
      </c>
      <c r="D12" s="37">
        <v>435019</v>
      </c>
      <c r="E12" s="37">
        <v>96973.97</v>
      </c>
      <c r="F12" s="37">
        <v>96973.97</v>
      </c>
      <c r="G12" s="37">
        <v>338045.03</v>
      </c>
    </row>
    <row r="13" spans="1:7">
      <c r="A13" s="103" t="s">
        <v>455</v>
      </c>
      <c r="B13" s="37">
        <v>35239865.079999998</v>
      </c>
      <c r="C13" s="37">
        <v>-29678.799999999999</v>
      </c>
      <c r="D13" s="37">
        <v>35210186.280000001</v>
      </c>
      <c r="E13" s="37">
        <v>5581681.5800000001</v>
      </c>
      <c r="F13" s="37">
        <v>5338634.34</v>
      </c>
      <c r="G13" s="37">
        <v>29628504.700000003</v>
      </c>
    </row>
    <row r="14" spans="1:7">
      <c r="A14" s="103" t="s">
        <v>456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</row>
    <row r="15" spans="1:7">
      <c r="A15" s="103" t="s">
        <v>457</v>
      </c>
      <c r="B15" s="37">
        <v>42705264.399999999</v>
      </c>
      <c r="C15" s="37">
        <v>1498120.75</v>
      </c>
      <c r="D15" s="37">
        <v>44203385.149999999</v>
      </c>
      <c r="E15" s="37">
        <v>7234588.2000000002</v>
      </c>
      <c r="F15" s="37">
        <v>6995946.9000000004</v>
      </c>
      <c r="G15" s="37">
        <v>36968796.949999996</v>
      </c>
    </row>
    <row r="16" spans="1:7">
      <c r="A16" s="103" t="s">
        <v>458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</row>
    <row r="17" spans="1:7">
      <c r="A17" s="103" t="s">
        <v>459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</row>
    <row r="18" spans="1:7">
      <c r="A18" s="103" t="s">
        <v>460</v>
      </c>
      <c r="B18" s="37">
        <v>18031797</v>
      </c>
      <c r="C18" s="37">
        <v>-107192</v>
      </c>
      <c r="D18" s="37">
        <v>17924605</v>
      </c>
      <c r="E18" s="37">
        <v>3096262.35</v>
      </c>
      <c r="F18" s="37">
        <v>2930993.9</v>
      </c>
      <c r="G18" s="37">
        <v>14828342.65</v>
      </c>
    </row>
    <row r="19" spans="1:7">
      <c r="A19" s="82" t="s">
        <v>461</v>
      </c>
      <c r="B19" s="123">
        <f t="shared" ref="B19:G19" si="2">SUM(B20:B26)</f>
        <v>92638996.170000002</v>
      </c>
      <c r="C19" s="123">
        <f t="shared" si="2"/>
        <v>28644039.870000001</v>
      </c>
      <c r="D19" s="123">
        <f t="shared" si="2"/>
        <v>121283036.03999999</v>
      </c>
      <c r="E19" s="123">
        <f t="shared" si="2"/>
        <v>22711107.659999996</v>
      </c>
      <c r="F19" s="123">
        <f t="shared" si="2"/>
        <v>19377035.18</v>
      </c>
      <c r="G19" s="123">
        <f t="shared" si="2"/>
        <v>98571928.38000001</v>
      </c>
    </row>
    <row r="20" spans="1:7">
      <c r="A20" s="103" t="s">
        <v>462</v>
      </c>
      <c r="B20" s="37">
        <v>9429919</v>
      </c>
      <c r="C20" s="37">
        <v>2918590.57</v>
      </c>
      <c r="D20" s="37">
        <v>12348509.57</v>
      </c>
      <c r="E20" s="37">
        <v>2413780.0299999998</v>
      </c>
      <c r="F20" s="37">
        <v>1860360.45</v>
      </c>
      <c r="G20" s="37">
        <v>9934729.540000001</v>
      </c>
    </row>
    <row r="21" spans="1:7">
      <c r="A21" s="103" t="s">
        <v>463</v>
      </c>
      <c r="B21" s="37">
        <v>65013963.170000002</v>
      </c>
      <c r="C21" s="37">
        <v>21752339.300000001</v>
      </c>
      <c r="D21" s="37">
        <v>86766302.469999999</v>
      </c>
      <c r="E21" s="37">
        <v>13397503.869999999</v>
      </c>
      <c r="F21" s="37">
        <v>11197713.23</v>
      </c>
      <c r="G21" s="37">
        <v>73368798.599999994</v>
      </c>
    </row>
    <row r="22" spans="1:7">
      <c r="A22" s="103" t="s">
        <v>464</v>
      </c>
      <c r="B22" s="37">
        <v>357117</v>
      </c>
      <c r="C22" s="37">
        <v>0</v>
      </c>
      <c r="D22" s="37">
        <v>357117</v>
      </c>
      <c r="E22" s="37">
        <v>65088.6</v>
      </c>
      <c r="F22" s="37">
        <v>62811</v>
      </c>
      <c r="G22" s="37">
        <v>292028.40000000002</v>
      </c>
    </row>
    <row r="23" spans="1:7">
      <c r="A23" s="103" t="s">
        <v>465</v>
      </c>
      <c r="B23" s="37">
        <v>8970399</v>
      </c>
      <c r="C23" s="37">
        <v>3923880</v>
      </c>
      <c r="D23" s="37">
        <v>12894279</v>
      </c>
      <c r="E23" s="37">
        <v>1942755.1</v>
      </c>
      <c r="F23" s="37">
        <v>1907047.45</v>
      </c>
      <c r="G23" s="37">
        <v>10951523.9</v>
      </c>
    </row>
    <row r="24" spans="1:7">
      <c r="A24" s="103" t="s">
        <v>466</v>
      </c>
      <c r="B24" s="37">
        <v>3381951</v>
      </c>
      <c r="C24" s="37">
        <v>49230</v>
      </c>
      <c r="D24" s="37">
        <v>3431181</v>
      </c>
      <c r="E24" s="37">
        <v>2141801.88</v>
      </c>
      <c r="F24" s="37">
        <v>2106017.6800000002</v>
      </c>
      <c r="G24" s="37">
        <v>1289379.1200000001</v>
      </c>
    </row>
    <row r="25" spans="1:7">
      <c r="A25" s="103" t="s">
        <v>467</v>
      </c>
      <c r="B25" s="37">
        <v>5485647</v>
      </c>
      <c r="C25" s="37">
        <v>0</v>
      </c>
      <c r="D25" s="37">
        <v>5485647</v>
      </c>
      <c r="E25" s="37">
        <v>2750178.18</v>
      </c>
      <c r="F25" s="37">
        <v>2243085.37</v>
      </c>
      <c r="G25" s="37">
        <v>2735468.82</v>
      </c>
    </row>
    <row r="26" spans="1:7">
      <c r="A26" s="103" t="s">
        <v>468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>
      <c r="A27" s="82" t="s">
        <v>469</v>
      </c>
      <c r="B27" s="123">
        <f t="shared" ref="B27:G27" si="3">SUM(B28:B36)</f>
        <v>7071171</v>
      </c>
      <c r="C27" s="123">
        <f t="shared" si="3"/>
        <v>2200150</v>
      </c>
      <c r="D27" s="123">
        <f t="shared" si="3"/>
        <v>9271321</v>
      </c>
      <c r="E27" s="123">
        <f t="shared" si="3"/>
        <v>1071320.03</v>
      </c>
      <c r="F27" s="123">
        <f t="shared" si="3"/>
        <v>1057693.99</v>
      </c>
      <c r="G27" s="123">
        <f t="shared" si="3"/>
        <v>8200000.9699999997</v>
      </c>
    </row>
    <row r="28" spans="1:7">
      <c r="A28" s="109" t="s">
        <v>470</v>
      </c>
      <c r="B28" s="37">
        <v>4844300</v>
      </c>
      <c r="C28" s="37">
        <v>0</v>
      </c>
      <c r="D28" s="37">
        <v>4844300</v>
      </c>
      <c r="E28" s="37">
        <v>978787.24</v>
      </c>
      <c r="F28" s="37">
        <v>965161.2</v>
      </c>
      <c r="G28" s="37">
        <v>3865512.76</v>
      </c>
    </row>
    <row r="29" spans="1:7">
      <c r="A29" s="103" t="s">
        <v>471</v>
      </c>
      <c r="B29" s="37">
        <v>1605560</v>
      </c>
      <c r="C29" s="37">
        <v>2200150</v>
      </c>
      <c r="D29" s="37">
        <v>3805710</v>
      </c>
      <c r="E29" s="37">
        <v>0</v>
      </c>
      <c r="F29" s="37">
        <v>0</v>
      </c>
      <c r="G29" s="37">
        <v>3805710</v>
      </c>
    </row>
    <row r="30" spans="1:7">
      <c r="A30" s="103" t="s">
        <v>472</v>
      </c>
      <c r="B30" s="37">
        <v>0</v>
      </c>
      <c r="C30" s="37">
        <v>0</v>
      </c>
      <c r="D30" s="37">
        <v>0</v>
      </c>
      <c r="E30" s="37">
        <v>0</v>
      </c>
      <c r="F30" s="37">
        <v>0</v>
      </c>
      <c r="G30" s="37">
        <v>0</v>
      </c>
    </row>
    <row r="31" spans="1:7">
      <c r="A31" s="103" t="s">
        <v>473</v>
      </c>
      <c r="B31" s="37">
        <v>0</v>
      </c>
      <c r="C31" s="37">
        <v>0</v>
      </c>
      <c r="D31" s="37">
        <v>0</v>
      </c>
      <c r="E31" s="37">
        <v>0</v>
      </c>
      <c r="F31" s="37">
        <v>0</v>
      </c>
      <c r="G31" s="37">
        <v>0</v>
      </c>
    </row>
    <row r="32" spans="1:7">
      <c r="A32" s="103" t="s">
        <v>474</v>
      </c>
      <c r="B32" s="37">
        <v>0</v>
      </c>
      <c r="C32" s="37">
        <v>0</v>
      </c>
      <c r="D32" s="37">
        <v>0</v>
      </c>
      <c r="E32" s="37">
        <v>0</v>
      </c>
      <c r="F32" s="37">
        <v>0</v>
      </c>
      <c r="G32" s="37">
        <v>0</v>
      </c>
    </row>
    <row r="33" spans="1:7">
      <c r="A33" s="103" t="s">
        <v>475</v>
      </c>
      <c r="B33" s="37">
        <v>0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</row>
    <row r="34" spans="1:7">
      <c r="A34" s="103" t="s">
        <v>476</v>
      </c>
      <c r="B34" s="37">
        <v>621311</v>
      </c>
      <c r="C34" s="37">
        <v>0</v>
      </c>
      <c r="D34" s="37">
        <v>621311</v>
      </c>
      <c r="E34" s="37">
        <v>92532.79</v>
      </c>
      <c r="F34" s="37">
        <v>92532.79</v>
      </c>
      <c r="G34" s="37">
        <v>528778.21</v>
      </c>
    </row>
    <row r="35" spans="1:7">
      <c r="A35" s="103" t="s">
        <v>477</v>
      </c>
      <c r="B35" s="37">
        <v>0</v>
      </c>
      <c r="C35" s="37">
        <v>0</v>
      </c>
      <c r="D35" s="37">
        <v>0</v>
      </c>
      <c r="E35" s="37">
        <v>0</v>
      </c>
      <c r="F35" s="37">
        <v>0</v>
      </c>
      <c r="G35" s="37">
        <v>0</v>
      </c>
    </row>
    <row r="36" spans="1:7">
      <c r="A36" s="103" t="s">
        <v>478</v>
      </c>
      <c r="B36" s="37">
        <v>0</v>
      </c>
      <c r="C36" s="37">
        <v>0</v>
      </c>
      <c r="D36" s="37">
        <v>0</v>
      </c>
      <c r="E36" s="37">
        <v>0</v>
      </c>
      <c r="F36" s="37">
        <v>0</v>
      </c>
      <c r="G36" s="37">
        <v>0</v>
      </c>
    </row>
    <row r="37" spans="1:7" ht="30">
      <c r="A37" s="124" t="s">
        <v>479</v>
      </c>
      <c r="B37" s="123">
        <f t="shared" ref="B37:G37" si="4">SUM(B38:B41)</f>
        <v>0</v>
      </c>
      <c r="C37" s="123">
        <f t="shared" si="4"/>
        <v>0</v>
      </c>
      <c r="D37" s="123">
        <f t="shared" si="4"/>
        <v>0</v>
      </c>
      <c r="E37" s="123">
        <f t="shared" si="4"/>
        <v>0</v>
      </c>
      <c r="F37" s="123">
        <f t="shared" si="4"/>
        <v>0</v>
      </c>
      <c r="G37" s="123">
        <f t="shared" si="4"/>
        <v>0</v>
      </c>
    </row>
    <row r="38" spans="1:7">
      <c r="A38" s="109" t="s">
        <v>480</v>
      </c>
      <c r="B38" s="37">
        <v>0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</row>
    <row r="39" spans="1:7" ht="30">
      <c r="A39" s="109" t="s">
        <v>481</v>
      </c>
      <c r="B39" s="37">
        <v>0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</row>
    <row r="40" spans="1:7">
      <c r="A40" s="109" t="s">
        <v>482</v>
      </c>
      <c r="B40" s="37">
        <v>0</v>
      </c>
      <c r="C40" s="37">
        <v>0</v>
      </c>
      <c r="D40" s="37">
        <v>0</v>
      </c>
      <c r="E40" s="37">
        <v>0</v>
      </c>
      <c r="F40" s="37">
        <v>0</v>
      </c>
      <c r="G40" s="37">
        <v>0</v>
      </c>
    </row>
    <row r="41" spans="1:7">
      <c r="A41" s="109" t="s">
        <v>483</v>
      </c>
      <c r="B41" s="37">
        <v>0</v>
      </c>
      <c r="C41" s="37">
        <v>0</v>
      </c>
      <c r="D41" s="37">
        <v>0</v>
      </c>
      <c r="E41" s="37">
        <v>0</v>
      </c>
      <c r="F41" s="37">
        <v>0</v>
      </c>
      <c r="G41" s="37">
        <v>0</v>
      </c>
    </row>
    <row r="42" spans="1:7">
      <c r="A42" s="109"/>
      <c r="B42" s="125"/>
      <c r="C42" s="125"/>
      <c r="D42" s="125"/>
      <c r="E42" s="125"/>
      <c r="F42" s="125"/>
      <c r="G42" s="125"/>
    </row>
    <row r="43" spans="1:7">
      <c r="A43" s="42" t="s">
        <v>484</v>
      </c>
      <c r="B43" s="126">
        <f>SUM(B44,B53,B61,B71)</f>
        <v>242751517.66</v>
      </c>
      <c r="C43" s="126">
        <f>SUM(C44,C53,C61,C71)</f>
        <v>152771973.25</v>
      </c>
      <c r="D43" s="127">
        <f t="shared" ref="D43" si="5">SUM(D44,D53,D61,D71)</f>
        <v>395523490.90999997</v>
      </c>
      <c r="E43" s="126">
        <f>SUM(E44,E53,E61,E71)</f>
        <v>97069849.339999989</v>
      </c>
      <c r="F43" s="126">
        <f>SUM(F44,F53,F61,F71)</f>
        <v>76678686.670000002</v>
      </c>
      <c r="G43" s="126">
        <f>SUM(G44,G53,G61,G71)</f>
        <v>298453641.57000005</v>
      </c>
    </row>
    <row r="44" spans="1:7">
      <c r="A44" s="82" t="s">
        <v>485</v>
      </c>
      <c r="B44" s="128">
        <f t="shared" ref="B44:G44" si="6">SUM(B45:B52)</f>
        <v>78019945.00999999</v>
      </c>
      <c r="C44" s="128">
        <f t="shared" si="6"/>
        <v>10703680.970000001</v>
      </c>
      <c r="D44" s="128">
        <f t="shared" si="6"/>
        <v>88723625.979999989</v>
      </c>
      <c r="E44" s="128">
        <f t="shared" si="6"/>
        <v>14720020.210000001</v>
      </c>
      <c r="F44" s="128">
        <f t="shared" si="6"/>
        <v>13275361.08</v>
      </c>
      <c r="G44" s="128">
        <f t="shared" si="6"/>
        <v>74003605.769999996</v>
      </c>
    </row>
    <row r="45" spans="1:7">
      <c r="A45" s="109" t="s">
        <v>453</v>
      </c>
      <c r="B45" s="37">
        <v>0</v>
      </c>
      <c r="C45" s="37">
        <v>0</v>
      </c>
      <c r="D45" s="37">
        <v>0</v>
      </c>
      <c r="E45" s="37">
        <v>0</v>
      </c>
      <c r="F45" s="37">
        <v>0</v>
      </c>
      <c r="G45" s="37">
        <v>0</v>
      </c>
    </row>
    <row r="46" spans="1:7">
      <c r="A46" s="109" t="s">
        <v>454</v>
      </c>
      <c r="B46" s="37">
        <v>0</v>
      </c>
      <c r="C46" s="37">
        <v>0</v>
      </c>
      <c r="D46" s="37">
        <v>0</v>
      </c>
      <c r="E46" s="37">
        <v>0</v>
      </c>
      <c r="F46" s="37">
        <v>0</v>
      </c>
      <c r="G46" s="37">
        <v>0</v>
      </c>
    </row>
    <row r="47" spans="1:7">
      <c r="A47" s="109" t="s">
        <v>455</v>
      </c>
      <c r="B47" s="37">
        <v>13443281.35</v>
      </c>
      <c r="C47" s="37">
        <v>1448985.96</v>
      </c>
      <c r="D47" s="37">
        <v>14892267.309999999</v>
      </c>
      <c r="E47" s="37">
        <v>3651908.29</v>
      </c>
      <c r="F47" s="37">
        <v>2803444.74</v>
      </c>
      <c r="G47" s="37">
        <v>11240359.02</v>
      </c>
    </row>
    <row r="48" spans="1:7">
      <c r="A48" s="109" t="s">
        <v>456</v>
      </c>
      <c r="B48" s="37">
        <v>0</v>
      </c>
      <c r="C48" s="37">
        <v>0</v>
      </c>
      <c r="D48" s="37">
        <v>0</v>
      </c>
      <c r="E48" s="37">
        <v>0</v>
      </c>
      <c r="F48" s="37">
        <v>0</v>
      </c>
      <c r="G48" s="37">
        <v>0</v>
      </c>
    </row>
    <row r="49" spans="1:7">
      <c r="A49" s="109" t="s">
        <v>457</v>
      </c>
      <c r="B49" s="37">
        <v>11991031.539999999</v>
      </c>
      <c r="C49" s="37">
        <v>-752304.99</v>
      </c>
      <c r="D49" s="37">
        <v>11238726.549999999</v>
      </c>
      <c r="E49" s="37">
        <v>1887489.34</v>
      </c>
      <c r="F49" s="37">
        <v>1858504.32</v>
      </c>
      <c r="G49" s="37">
        <v>9351237.209999999</v>
      </c>
    </row>
    <row r="50" spans="1:7">
      <c r="A50" s="109" t="s">
        <v>458</v>
      </c>
      <c r="B50" s="37">
        <v>0</v>
      </c>
      <c r="C50" s="37">
        <v>0</v>
      </c>
      <c r="D50" s="37">
        <v>0</v>
      </c>
      <c r="E50" s="37">
        <v>0</v>
      </c>
      <c r="F50" s="37">
        <v>0</v>
      </c>
      <c r="G50" s="37">
        <v>0</v>
      </c>
    </row>
    <row r="51" spans="1:7">
      <c r="A51" s="109" t="s">
        <v>459</v>
      </c>
      <c r="B51" s="37">
        <v>52585632.119999997</v>
      </c>
      <c r="C51" s="37">
        <v>10007000</v>
      </c>
      <c r="D51" s="37">
        <v>62592632.119999997</v>
      </c>
      <c r="E51" s="37">
        <v>9180622.5800000001</v>
      </c>
      <c r="F51" s="37">
        <v>8613412.0199999996</v>
      </c>
      <c r="G51" s="37">
        <v>53412009.539999999</v>
      </c>
    </row>
    <row r="52" spans="1:7">
      <c r="A52" s="109" t="s">
        <v>460</v>
      </c>
      <c r="B52" s="37">
        <v>0</v>
      </c>
      <c r="C52" s="37">
        <v>0</v>
      </c>
      <c r="D52" s="37">
        <v>0</v>
      </c>
      <c r="E52" s="37">
        <v>0</v>
      </c>
      <c r="F52" s="37">
        <v>0</v>
      </c>
      <c r="G52" s="37">
        <v>0</v>
      </c>
    </row>
    <row r="53" spans="1:7">
      <c r="A53" s="82" t="s">
        <v>461</v>
      </c>
      <c r="B53" s="123">
        <f t="shared" ref="B53:G53" si="7">SUM(B54:B60)</f>
        <v>155571632.01000002</v>
      </c>
      <c r="C53" s="123">
        <f t="shared" si="7"/>
        <v>125955914.39999999</v>
      </c>
      <c r="D53" s="123">
        <f t="shared" si="7"/>
        <v>281527546.40999997</v>
      </c>
      <c r="E53" s="123">
        <f t="shared" si="7"/>
        <v>80558638.709999993</v>
      </c>
      <c r="F53" s="123">
        <f t="shared" si="7"/>
        <v>61612135.170000002</v>
      </c>
      <c r="G53" s="123">
        <f t="shared" si="7"/>
        <v>200968907.70000002</v>
      </c>
    </row>
    <row r="54" spans="1:7">
      <c r="A54" s="109" t="s">
        <v>462</v>
      </c>
      <c r="B54" s="37">
        <v>23987465.199999999</v>
      </c>
      <c r="C54" s="37">
        <v>24667878.879999999</v>
      </c>
      <c r="D54" s="37">
        <v>48655344.079999998</v>
      </c>
      <c r="E54" s="37">
        <v>21040650.82</v>
      </c>
      <c r="F54" s="37">
        <v>19245435.219999999</v>
      </c>
      <c r="G54" s="37">
        <v>27614693.259999998</v>
      </c>
    </row>
    <row r="55" spans="1:7">
      <c r="A55" s="109" t="s">
        <v>463</v>
      </c>
      <c r="B55" s="37">
        <v>112985131.95</v>
      </c>
      <c r="C55" s="37">
        <v>106517630.36</v>
      </c>
      <c r="D55" s="37">
        <v>219502762.31</v>
      </c>
      <c r="E55" s="37">
        <f>55430224.19-784904.71</f>
        <v>54645319.479999997</v>
      </c>
      <c r="F55" s="37">
        <f>39858838.31-784904.71</f>
        <v>39073933.600000001</v>
      </c>
      <c r="G55" s="37">
        <f>D55-E55</f>
        <v>164857442.83000001</v>
      </c>
    </row>
    <row r="56" spans="1:7">
      <c r="A56" s="109" t="s">
        <v>464</v>
      </c>
      <c r="B56" s="37">
        <v>0</v>
      </c>
      <c r="C56" s="37">
        <v>0</v>
      </c>
      <c r="D56" s="37">
        <v>0</v>
      </c>
      <c r="E56" s="37">
        <v>0</v>
      </c>
      <c r="F56" s="37">
        <v>0</v>
      </c>
      <c r="G56" s="37">
        <v>0</v>
      </c>
    </row>
    <row r="57" spans="1:7">
      <c r="A57" s="110" t="s">
        <v>465</v>
      </c>
      <c r="B57" s="37">
        <v>17483665.899999999</v>
      </c>
      <c r="C57" s="37">
        <v>-5301781.97</v>
      </c>
      <c r="D57" s="37">
        <v>12181883.93</v>
      </c>
      <c r="E57" s="37">
        <v>4822433.8099999996</v>
      </c>
      <c r="F57" s="37">
        <v>3242531.75</v>
      </c>
      <c r="G57" s="37">
        <v>7359450.1200000001</v>
      </c>
    </row>
    <row r="58" spans="1:7">
      <c r="A58" s="109" t="s">
        <v>466</v>
      </c>
      <c r="B58" s="37">
        <v>618000</v>
      </c>
      <c r="C58" s="37">
        <v>72187.13</v>
      </c>
      <c r="D58" s="37">
        <v>690187.13</v>
      </c>
      <c r="E58" s="37">
        <v>50234.6</v>
      </c>
      <c r="F58" s="37">
        <v>50234.6</v>
      </c>
      <c r="G58" s="37">
        <v>639952.53</v>
      </c>
    </row>
    <row r="59" spans="1:7">
      <c r="A59" s="109" t="s">
        <v>467</v>
      </c>
      <c r="B59" s="37">
        <v>297368.96000000002</v>
      </c>
      <c r="C59" s="37">
        <v>0</v>
      </c>
      <c r="D59" s="37">
        <v>297368.96000000002</v>
      </c>
      <c r="E59" s="37">
        <v>0</v>
      </c>
      <c r="F59" s="37">
        <v>0</v>
      </c>
      <c r="G59" s="37">
        <v>297368.96000000002</v>
      </c>
    </row>
    <row r="60" spans="1:7">
      <c r="A60" s="109" t="s">
        <v>468</v>
      </c>
      <c r="B60" s="37">
        <v>200000</v>
      </c>
      <c r="C60" s="37">
        <v>0</v>
      </c>
      <c r="D60" s="37">
        <v>200000</v>
      </c>
      <c r="E60" s="37">
        <v>0</v>
      </c>
      <c r="F60" s="37">
        <v>0</v>
      </c>
      <c r="G60" s="37">
        <v>200000</v>
      </c>
    </row>
    <row r="61" spans="1:7">
      <c r="A61" s="82" t="s">
        <v>469</v>
      </c>
      <c r="B61" s="123">
        <f t="shared" ref="B61:G61" si="8">SUM(B62:B70)</f>
        <v>3113500</v>
      </c>
      <c r="C61" s="123">
        <f t="shared" si="8"/>
        <v>14938750</v>
      </c>
      <c r="D61" s="123">
        <f t="shared" si="8"/>
        <v>18052250</v>
      </c>
      <c r="E61" s="123">
        <f t="shared" si="8"/>
        <v>0</v>
      </c>
      <c r="F61" s="123">
        <f t="shared" si="8"/>
        <v>0</v>
      </c>
      <c r="G61" s="123">
        <f t="shared" si="8"/>
        <v>18052250</v>
      </c>
    </row>
    <row r="62" spans="1:7">
      <c r="A62" s="109" t="s">
        <v>470</v>
      </c>
      <c r="B62" s="37">
        <v>0</v>
      </c>
      <c r="C62" s="37">
        <v>0</v>
      </c>
      <c r="D62" s="37">
        <v>0</v>
      </c>
      <c r="E62" s="37">
        <v>0</v>
      </c>
      <c r="F62" s="37">
        <v>0</v>
      </c>
      <c r="G62" s="37">
        <v>0</v>
      </c>
    </row>
    <row r="63" spans="1:7">
      <c r="A63" s="109" t="s">
        <v>471</v>
      </c>
      <c r="B63" s="37">
        <v>2963500</v>
      </c>
      <c r="C63" s="37">
        <v>4938750</v>
      </c>
      <c r="D63" s="37">
        <v>7902250</v>
      </c>
      <c r="E63" s="37">
        <v>0</v>
      </c>
      <c r="F63" s="37">
        <v>0</v>
      </c>
      <c r="G63" s="37">
        <v>7902250</v>
      </c>
    </row>
    <row r="64" spans="1:7">
      <c r="A64" s="109" t="s">
        <v>472</v>
      </c>
      <c r="B64" s="37">
        <v>0</v>
      </c>
      <c r="C64" s="37">
        <v>0</v>
      </c>
      <c r="D64" s="37">
        <v>0</v>
      </c>
      <c r="E64" s="37">
        <v>0</v>
      </c>
      <c r="F64" s="37">
        <v>0</v>
      </c>
      <c r="G64" s="37">
        <v>0</v>
      </c>
    </row>
    <row r="65" spans="1:8">
      <c r="A65" s="109" t="s">
        <v>473</v>
      </c>
      <c r="B65" s="37">
        <v>0</v>
      </c>
      <c r="C65" s="37">
        <v>0</v>
      </c>
      <c r="D65" s="37">
        <v>0</v>
      </c>
      <c r="E65" s="37">
        <v>0</v>
      </c>
      <c r="F65" s="37">
        <v>0</v>
      </c>
      <c r="G65" s="37">
        <v>0</v>
      </c>
    </row>
    <row r="66" spans="1:8">
      <c r="A66" s="109" t="s">
        <v>474</v>
      </c>
      <c r="B66" s="37">
        <v>0</v>
      </c>
      <c r="C66" s="37">
        <v>10000000</v>
      </c>
      <c r="D66" s="37">
        <v>10000000</v>
      </c>
      <c r="E66" s="37">
        <v>0</v>
      </c>
      <c r="F66" s="37">
        <v>0</v>
      </c>
      <c r="G66" s="37">
        <v>10000000</v>
      </c>
    </row>
    <row r="67" spans="1:8">
      <c r="A67" s="109" t="s">
        <v>475</v>
      </c>
      <c r="B67" s="37">
        <v>0</v>
      </c>
      <c r="C67" s="37">
        <v>0</v>
      </c>
      <c r="D67" s="37">
        <v>0</v>
      </c>
      <c r="E67" s="37">
        <v>0</v>
      </c>
      <c r="F67" s="37">
        <v>0</v>
      </c>
      <c r="G67" s="37">
        <v>0</v>
      </c>
    </row>
    <row r="68" spans="1:8">
      <c r="A68" s="109" t="s">
        <v>476</v>
      </c>
      <c r="B68" s="37">
        <v>150000</v>
      </c>
      <c r="C68" s="37">
        <v>0</v>
      </c>
      <c r="D68" s="37">
        <v>150000</v>
      </c>
      <c r="E68" s="37">
        <v>0</v>
      </c>
      <c r="F68" s="37">
        <v>0</v>
      </c>
      <c r="G68" s="37">
        <v>150000</v>
      </c>
    </row>
    <row r="69" spans="1:8">
      <c r="A69" s="109" t="s">
        <v>477</v>
      </c>
      <c r="B69" s="37">
        <v>0</v>
      </c>
      <c r="C69" s="37">
        <v>0</v>
      </c>
      <c r="D69" s="37">
        <v>0</v>
      </c>
      <c r="E69" s="37">
        <v>0</v>
      </c>
      <c r="F69" s="37">
        <v>0</v>
      </c>
      <c r="G69" s="37">
        <v>0</v>
      </c>
    </row>
    <row r="70" spans="1:8">
      <c r="A70" s="109" t="s">
        <v>478</v>
      </c>
      <c r="B70" s="37">
        <v>0</v>
      </c>
      <c r="C70" s="37">
        <v>0</v>
      </c>
      <c r="D70" s="37">
        <v>0</v>
      </c>
      <c r="E70" s="37">
        <v>0</v>
      </c>
      <c r="F70" s="37">
        <v>0</v>
      </c>
      <c r="G70" s="37">
        <v>0</v>
      </c>
    </row>
    <row r="71" spans="1:8">
      <c r="A71" s="124" t="s">
        <v>486</v>
      </c>
      <c r="B71" s="129">
        <f t="shared" ref="B71:G71" si="9">SUM(B72:B75)</f>
        <v>6046440.6399999997</v>
      </c>
      <c r="C71" s="129">
        <f t="shared" si="9"/>
        <v>1173627.8799999999</v>
      </c>
      <c r="D71" s="129">
        <f t="shared" si="9"/>
        <v>7220068.5199999996</v>
      </c>
      <c r="E71" s="129">
        <f t="shared" si="9"/>
        <v>1791190.42</v>
      </c>
      <c r="F71" s="129">
        <f t="shared" si="9"/>
        <v>1791190.42</v>
      </c>
      <c r="G71" s="129">
        <f t="shared" si="9"/>
        <v>5428878.0999999996</v>
      </c>
    </row>
    <row r="72" spans="1:8">
      <c r="A72" s="109" t="s">
        <v>480</v>
      </c>
      <c r="B72" s="37">
        <v>6046440.6399999997</v>
      </c>
      <c r="C72" s="37">
        <v>1173627.8799999999</v>
      </c>
      <c r="D72" s="37">
        <v>7220068.5199999996</v>
      </c>
      <c r="E72" s="37">
        <v>1791190.42</v>
      </c>
      <c r="F72" s="37">
        <v>1791190.42</v>
      </c>
      <c r="G72" s="37">
        <v>5428878.0999999996</v>
      </c>
    </row>
    <row r="73" spans="1:8" ht="30">
      <c r="A73" s="109" t="s">
        <v>481</v>
      </c>
      <c r="B73" s="37">
        <v>0</v>
      </c>
      <c r="C73" s="37">
        <v>0</v>
      </c>
      <c r="D73" s="37">
        <v>0</v>
      </c>
      <c r="E73" s="37">
        <v>0</v>
      </c>
      <c r="F73" s="37">
        <v>0</v>
      </c>
      <c r="G73" s="37">
        <v>0</v>
      </c>
    </row>
    <row r="74" spans="1:8">
      <c r="A74" s="109" t="s">
        <v>482</v>
      </c>
      <c r="B74" s="37">
        <v>0</v>
      </c>
      <c r="C74" s="37">
        <v>0</v>
      </c>
      <c r="D74" s="37">
        <v>0</v>
      </c>
      <c r="E74" s="37">
        <v>0</v>
      </c>
      <c r="F74" s="37">
        <v>0</v>
      </c>
      <c r="G74" s="37">
        <v>0</v>
      </c>
    </row>
    <row r="75" spans="1:8">
      <c r="A75" s="109" t="s">
        <v>483</v>
      </c>
      <c r="B75" s="37">
        <v>0</v>
      </c>
      <c r="C75" s="37">
        <v>0</v>
      </c>
      <c r="D75" s="37">
        <v>0</v>
      </c>
      <c r="E75" s="37">
        <v>0</v>
      </c>
      <c r="F75" s="37">
        <v>0</v>
      </c>
      <c r="G75" s="37">
        <v>0</v>
      </c>
    </row>
    <row r="76" spans="1:8">
      <c r="A76" s="30"/>
      <c r="B76" s="130"/>
      <c r="C76" s="130"/>
      <c r="D76" s="130"/>
      <c r="E76" s="130"/>
      <c r="F76" s="130"/>
      <c r="G76" s="130"/>
    </row>
    <row r="77" spans="1:8">
      <c r="A77" s="42" t="s">
        <v>87</v>
      </c>
      <c r="B77" s="126">
        <f t="shared" ref="B77:F77" si="10">B43+B9</f>
        <v>452871523.95000005</v>
      </c>
      <c r="C77" s="126">
        <f t="shared" si="10"/>
        <v>185076716.15000001</v>
      </c>
      <c r="D77" s="126">
        <f t="shared" si="10"/>
        <v>637948240.0999999</v>
      </c>
      <c r="E77" s="126">
        <f t="shared" si="10"/>
        <v>139807412.53999999</v>
      </c>
      <c r="F77" s="126">
        <f t="shared" si="10"/>
        <v>115316443.06</v>
      </c>
      <c r="G77" s="126">
        <f>G43+G9</f>
        <v>498140827.56000006</v>
      </c>
    </row>
    <row r="78" spans="1:8">
      <c r="A78" s="79"/>
      <c r="B78" s="131"/>
      <c r="C78" s="131"/>
      <c r="D78" s="131"/>
      <c r="E78" s="131"/>
      <c r="F78" s="131"/>
      <c r="G78" s="131"/>
      <c r="H78" s="19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67</vt:i4>
      </vt:variant>
    </vt:vector>
  </HeadingPairs>
  <TitlesOfParts>
    <vt:vector size="82" baseType="lpstr">
      <vt:lpstr>Datos Generales</vt:lpstr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Formatp 7 c)</vt:lpstr>
      <vt:lpstr>Formato 7 d)</vt:lpstr>
      <vt:lpstr>Formato 8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OB_CORTO_PLAZO_FIN_01</vt:lpstr>
      <vt:lpstr>OB_CORTO_PLAZO_FIN_02</vt:lpstr>
      <vt:lpstr>OB_CORTO_PLAZO_FIN_03</vt:lpstr>
      <vt:lpstr>OB_CORTO_PLAZO_FIN_04</vt:lpstr>
      <vt:lpstr>OB_CORTO_PLAZO_FIN_05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Mike</cp:lastModifiedBy>
  <dcterms:created xsi:type="dcterms:W3CDTF">2018-04-30T16:51:36Z</dcterms:created>
  <dcterms:modified xsi:type="dcterms:W3CDTF">2018-05-29T17:54:34Z</dcterms:modified>
</cp:coreProperties>
</file>